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BE970C4-980F-4967-9F74-F1239FF6A818}" xr6:coauthVersionLast="45" xr6:coauthVersionMax="45" xr10:uidLastSave="{00000000-0000-0000-0000-000000000000}"/>
  <bookViews>
    <workbookView xWindow="-108" yWindow="-108" windowWidth="23256" windowHeight="13176" activeTab="2" xr2:uid="{00000000-000D-0000-FFFF-FFFF00000000}"/>
  </bookViews>
  <sheets>
    <sheet name="Without damper Initial design" sheetId="3" r:id="rId1"/>
    <sheet name="With Damper" sheetId="4" r:id="rId2"/>
    <sheet name="Velocity" sheetId="5" r:id="rId3"/>
    <sheet name="Constant Friction Factor Design" sheetId="2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2" l="1"/>
  <c r="F53" i="2"/>
  <c r="F54" i="2"/>
  <c r="F55" i="2"/>
  <c r="F56" i="2"/>
  <c r="F57" i="2"/>
  <c r="F58" i="2"/>
  <c r="F59" i="2"/>
  <c r="F60" i="2"/>
  <c r="F61" i="2"/>
  <c r="F62" i="2"/>
  <c r="C24" i="2" l="1"/>
  <c r="E24" i="2" s="1"/>
  <c r="F24" i="2" s="1"/>
  <c r="C23" i="2"/>
  <c r="E23" i="2" s="1"/>
  <c r="F23" i="2" s="1"/>
  <c r="C60" i="2" s="1"/>
  <c r="C22" i="2"/>
  <c r="E22" i="2" s="1"/>
  <c r="F22" i="2" s="1"/>
  <c r="F43" i="2" s="1"/>
  <c r="C21" i="2"/>
  <c r="E21" i="2" s="1"/>
  <c r="F21" i="2" s="1"/>
  <c r="C43" i="2" s="1"/>
  <c r="C59" i="5"/>
  <c r="C24" i="5"/>
  <c r="E24" i="5" s="1"/>
  <c r="F24" i="5" s="1"/>
  <c r="F59" i="5" s="1"/>
  <c r="C23" i="5"/>
  <c r="E23" i="5" s="1"/>
  <c r="F23" i="5" s="1"/>
  <c r="C22" i="5"/>
  <c r="E22" i="5" s="1"/>
  <c r="F22" i="5" s="1"/>
  <c r="F42" i="5" s="1"/>
  <c r="C21" i="5"/>
  <c r="E21" i="5"/>
  <c r="F21" i="5" s="1"/>
  <c r="C42" i="5" s="1"/>
  <c r="F59" i="4"/>
  <c r="C59" i="4"/>
  <c r="C43" i="4"/>
  <c r="C24" i="4"/>
  <c r="C23" i="4"/>
  <c r="C22" i="4"/>
  <c r="C21" i="4"/>
  <c r="E21" i="4"/>
  <c r="F21" i="4" s="1"/>
  <c r="E22" i="4"/>
  <c r="F22" i="4" s="1"/>
  <c r="F43" i="4" s="1"/>
  <c r="E23" i="4"/>
  <c r="F23" i="4" s="1"/>
  <c r="E24" i="4"/>
  <c r="F24" i="4" s="1"/>
  <c r="F57" i="3"/>
  <c r="C57" i="3"/>
  <c r="C24" i="3"/>
  <c r="E24" i="3" s="1"/>
  <c r="F24" i="3" s="1"/>
  <c r="C23" i="3"/>
  <c r="E23" i="3" s="1"/>
  <c r="F23" i="3" s="1"/>
  <c r="C22" i="3"/>
  <c r="E22" i="3" s="1"/>
  <c r="F22" i="3" s="1"/>
  <c r="F41" i="3" s="1"/>
  <c r="C21" i="3"/>
  <c r="E21" i="3"/>
  <c r="F21" i="3" s="1"/>
  <c r="C41" i="3" s="1"/>
  <c r="I32" i="2" l="1"/>
  <c r="K32" i="2" s="1"/>
  <c r="L32" i="2" s="1"/>
  <c r="F63" i="2" s="1"/>
  <c r="F62" i="5"/>
  <c r="C61" i="5"/>
  <c r="F44" i="5"/>
  <c r="C44" i="5"/>
  <c r="I31" i="5"/>
  <c r="K31" i="5" s="1"/>
  <c r="L31" i="5" s="1"/>
  <c r="F58" i="5" s="1"/>
  <c r="I30" i="5"/>
  <c r="K30" i="5" s="1"/>
  <c r="L30" i="5" s="1"/>
  <c r="C58" i="5" s="1"/>
  <c r="I29" i="5"/>
  <c r="K29" i="5" s="1"/>
  <c r="L29" i="5" s="1"/>
  <c r="F43" i="5" s="1"/>
  <c r="I28" i="5"/>
  <c r="K28" i="5" s="1"/>
  <c r="L28" i="5" s="1"/>
  <c r="C43" i="5" s="1"/>
  <c r="I27" i="5"/>
  <c r="K27" i="5" s="1"/>
  <c r="L27" i="5" s="1"/>
  <c r="C30" i="5"/>
  <c r="E30" i="5" s="1"/>
  <c r="F30" i="5" s="1"/>
  <c r="C57" i="5" s="1"/>
  <c r="C29" i="5"/>
  <c r="E29" i="5" s="1"/>
  <c r="F29" i="5" s="1"/>
  <c r="C28" i="5"/>
  <c r="E28" i="5" s="1"/>
  <c r="F28" i="5" s="1"/>
  <c r="C40" i="5" s="1"/>
  <c r="N23" i="5"/>
  <c r="C27" i="5"/>
  <c r="E27" i="5" s="1"/>
  <c r="F27" i="5" s="1"/>
  <c r="F39" i="5" s="1"/>
  <c r="C20" i="5"/>
  <c r="E20" i="5" s="1"/>
  <c r="F20" i="5" s="1"/>
  <c r="F60" i="5" s="1"/>
  <c r="C19" i="5"/>
  <c r="E19" i="5" s="1"/>
  <c r="F19" i="5" s="1"/>
  <c r="F55" i="5" s="1"/>
  <c r="C18" i="5"/>
  <c r="E18" i="5" s="1"/>
  <c r="F18" i="5" s="1"/>
  <c r="F41" i="5" s="1"/>
  <c r="C17" i="5"/>
  <c r="E17" i="5" s="1"/>
  <c r="F17" i="5" s="1"/>
  <c r="H14" i="5"/>
  <c r="F61" i="5" s="1"/>
  <c r="G14" i="5"/>
  <c r="H13" i="5"/>
  <c r="F57" i="5" s="1"/>
  <c r="G13" i="5"/>
  <c r="H12" i="5"/>
  <c r="C60" i="5" s="1"/>
  <c r="G12" i="5"/>
  <c r="H11" i="5"/>
  <c r="F56" i="5" s="1"/>
  <c r="G11" i="5"/>
  <c r="H10" i="5"/>
  <c r="C54" i="5" s="1"/>
  <c r="G10" i="5"/>
  <c r="H9" i="5"/>
  <c r="F45" i="5" s="1"/>
  <c r="G9" i="5"/>
  <c r="H8" i="5"/>
  <c r="F40" i="5" s="1"/>
  <c r="G8" i="5"/>
  <c r="H7" i="5"/>
  <c r="C41" i="5" s="1"/>
  <c r="G7" i="5"/>
  <c r="H6" i="5"/>
  <c r="C39" i="5" s="1"/>
  <c r="G6" i="5"/>
  <c r="H5" i="5"/>
  <c r="F36" i="5" s="1"/>
  <c r="G5" i="5"/>
  <c r="H4" i="5"/>
  <c r="G4" i="5"/>
  <c r="F38" i="5" l="1"/>
  <c r="F54" i="5"/>
  <c r="F52" i="5"/>
  <c r="C36" i="5"/>
  <c r="C52" i="5"/>
  <c r="C38" i="5"/>
  <c r="F37" i="5"/>
  <c r="C37" i="5"/>
  <c r="F53" i="5"/>
  <c r="C53" i="5"/>
  <c r="C55" i="5"/>
  <c r="C56" i="5"/>
  <c r="I30" i="4"/>
  <c r="I31" i="4"/>
  <c r="I29" i="4"/>
  <c r="I28" i="4"/>
  <c r="I27" i="4"/>
  <c r="C30" i="4"/>
  <c r="C29" i="4"/>
  <c r="C28" i="4"/>
  <c r="C27" i="4"/>
  <c r="C20" i="4"/>
  <c r="C19" i="4"/>
  <c r="C18" i="4"/>
  <c r="C17" i="4"/>
  <c r="C30" i="3"/>
  <c r="C29" i="3"/>
  <c r="C28" i="3"/>
  <c r="C27" i="3"/>
  <c r="C20" i="3"/>
  <c r="C19" i="3"/>
  <c r="C18" i="3"/>
  <c r="C17" i="3"/>
  <c r="F46" i="5" l="1"/>
  <c r="C62" i="5"/>
  <c r="F63" i="5"/>
  <c r="C45" i="5"/>
  <c r="C30" i="2"/>
  <c r="E30" i="2" s="1"/>
  <c r="F30" i="2" s="1"/>
  <c r="C57" i="2" s="1"/>
  <c r="C29" i="2"/>
  <c r="E29" i="2" s="1"/>
  <c r="F29" i="2" s="1"/>
  <c r="C28" i="2"/>
  <c r="E28" i="2" s="1"/>
  <c r="F28" i="2" s="1"/>
  <c r="C40" i="2" s="1"/>
  <c r="C27" i="2"/>
  <c r="E27" i="2" s="1"/>
  <c r="F27" i="2" s="1"/>
  <c r="C38" i="2" s="1"/>
  <c r="I31" i="2"/>
  <c r="K31" i="2" s="1"/>
  <c r="L31" i="2" s="1"/>
  <c r="I30" i="2"/>
  <c r="K30" i="2" s="1"/>
  <c r="L30" i="2" s="1"/>
  <c r="C58" i="2" s="1"/>
  <c r="I29" i="2"/>
  <c r="K29" i="2" s="1"/>
  <c r="L29" i="2" s="1"/>
  <c r="F42" i="2" s="1"/>
  <c r="I28" i="2"/>
  <c r="K28" i="2" s="1"/>
  <c r="L28" i="2" s="1"/>
  <c r="C42" i="2" s="1"/>
  <c r="I27" i="2"/>
  <c r="K27" i="2" s="1"/>
  <c r="L27" i="2" s="1"/>
  <c r="C20" i="2"/>
  <c r="E20" i="2" s="1"/>
  <c r="F20" i="2" s="1"/>
  <c r="C19" i="2"/>
  <c r="E19" i="2" s="1"/>
  <c r="F19" i="2" s="1"/>
  <c r="C18" i="2"/>
  <c r="E18" i="2" s="1"/>
  <c r="F18" i="2" s="1"/>
  <c r="F41" i="2" s="1"/>
  <c r="C17" i="2"/>
  <c r="E17" i="2" s="1"/>
  <c r="F17" i="2" s="1"/>
  <c r="C37" i="2" s="1"/>
  <c r="F62" i="4"/>
  <c r="C61" i="4"/>
  <c r="F44" i="4"/>
  <c r="C44" i="4"/>
  <c r="K31" i="4"/>
  <c r="L31" i="4" s="1"/>
  <c r="F58" i="4" s="1"/>
  <c r="K30" i="4"/>
  <c r="L30" i="4" s="1"/>
  <c r="C58" i="4" s="1"/>
  <c r="K29" i="4"/>
  <c r="L29" i="4" s="1"/>
  <c r="F42" i="4" s="1"/>
  <c r="K28" i="4"/>
  <c r="L28" i="4" s="1"/>
  <c r="C42" i="4" s="1"/>
  <c r="K27" i="4"/>
  <c r="L27" i="4" s="1"/>
  <c r="E30" i="4"/>
  <c r="F30" i="4" s="1"/>
  <c r="C57" i="4" s="1"/>
  <c r="E29" i="4"/>
  <c r="F29" i="4" s="1"/>
  <c r="E28" i="4"/>
  <c r="F28" i="4" s="1"/>
  <c r="C40" i="4" s="1"/>
  <c r="N23" i="4"/>
  <c r="E27" i="4"/>
  <c r="F27" i="4" s="1"/>
  <c r="F39" i="4" s="1"/>
  <c r="E20" i="4"/>
  <c r="F20" i="4" s="1"/>
  <c r="F60" i="4" s="1"/>
  <c r="E19" i="4"/>
  <c r="F19" i="4" s="1"/>
  <c r="F55" i="4" s="1"/>
  <c r="E18" i="4"/>
  <c r="F18" i="4" s="1"/>
  <c r="F41" i="4" s="1"/>
  <c r="E17" i="4"/>
  <c r="F17" i="4" s="1"/>
  <c r="F37" i="4" s="1"/>
  <c r="H14" i="4"/>
  <c r="F61" i="4" s="1"/>
  <c r="G14" i="4"/>
  <c r="H13" i="4"/>
  <c r="F57" i="4" s="1"/>
  <c r="G13" i="4"/>
  <c r="H12" i="4"/>
  <c r="C60" i="4" s="1"/>
  <c r="G12" i="4"/>
  <c r="H11" i="4"/>
  <c r="C56" i="4" s="1"/>
  <c r="G11" i="4"/>
  <c r="H10" i="4"/>
  <c r="C54" i="4" s="1"/>
  <c r="G10" i="4"/>
  <c r="H9" i="4"/>
  <c r="F45" i="4" s="1"/>
  <c r="G9" i="4"/>
  <c r="H8" i="4"/>
  <c r="F40" i="4" s="1"/>
  <c r="G8" i="4"/>
  <c r="H7" i="4"/>
  <c r="C41" i="4" s="1"/>
  <c r="G7" i="4"/>
  <c r="H6" i="4"/>
  <c r="F38" i="4" s="1"/>
  <c r="G6" i="4"/>
  <c r="H5" i="4"/>
  <c r="C52" i="4" s="1"/>
  <c r="G5" i="4"/>
  <c r="H4" i="4"/>
  <c r="G4" i="4"/>
  <c r="F60" i="3"/>
  <c r="C59" i="3"/>
  <c r="F43" i="3"/>
  <c r="C43" i="3"/>
  <c r="E30" i="3"/>
  <c r="F30" i="3" s="1"/>
  <c r="C56" i="3" s="1"/>
  <c r="E29" i="3"/>
  <c r="F29" i="3" s="1"/>
  <c r="F52" i="3" s="1"/>
  <c r="E28" i="3"/>
  <c r="F28" i="3" s="1"/>
  <c r="C40" i="3" s="1"/>
  <c r="N23" i="3"/>
  <c r="E27" i="3"/>
  <c r="F27" i="3" s="1"/>
  <c r="E20" i="3"/>
  <c r="F20" i="3" s="1"/>
  <c r="F58" i="3" s="1"/>
  <c r="E19" i="3"/>
  <c r="F19" i="3" s="1"/>
  <c r="E18" i="3"/>
  <c r="F18" i="3" s="1"/>
  <c r="F42" i="3" s="1"/>
  <c r="E17" i="3"/>
  <c r="F17" i="3" s="1"/>
  <c r="H14" i="3"/>
  <c r="F59" i="3" s="1"/>
  <c r="G14" i="3"/>
  <c r="H13" i="3"/>
  <c r="F56" i="3" s="1"/>
  <c r="G13" i="3"/>
  <c r="H12" i="3"/>
  <c r="C58" i="3" s="1"/>
  <c r="G12" i="3"/>
  <c r="H11" i="3"/>
  <c r="C55" i="3" s="1"/>
  <c r="G11" i="3"/>
  <c r="H10" i="3"/>
  <c r="F53" i="3" s="1"/>
  <c r="G10" i="3"/>
  <c r="H9" i="3"/>
  <c r="F44" i="3" s="1"/>
  <c r="G9" i="3"/>
  <c r="H8" i="3"/>
  <c r="F40" i="3" s="1"/>
  <c r="G8" i="3"/>
  <c r="H7" i="3"/>
  <c r="C42" i="3" s="1"/>
  <c r="G7" i="3"/>
  <c r="H6" i="3"/>
  <c r="C39" i="3" s="1"/>
  <c r="G6" i="3"/>
  <c r="H5" i="3"/>
  <c r="C36" i="3" s="1"/>
  <c r="G5" i="3"/>
  <c r="H4" i="3"/>
  <c r="G4" i="3"/>
  <c r="C61" i="2"/>
  <c r="F44" i="2"/>
  <c r="C44" i="2"/>
  <c r="N23" i="2"/>
  <c r="G5" i="2"/>
  <c r="H5" i="2"/>
  <c r="C36" i="2" s="1"/>
  <c r="G6" i="2"/>
  <c r="H6" i="2"/>
  <c r="C39" i="2" s="1"/>
  <c r="G7" i="2"/>
  <c r="H7" i="2"/>
  <c r="C41" i="2" s="1"/>
  <c r="G8" i="2"/>
  <c r="H8" i="2"/>
  <c r="F40" i="2" s="1"/>
  <c r="G9" i="2"/>
  <c r="H9" i="2"/>
  <c r="F45" i="2" s="1"/>
  <c r="G10" i="2"/>
  <c r="H10" i="2"/>
  <c r="G11" i="2"/>
  <c r="H11" i="2"/>
  <c r="G12" i="2"/>
  <c r="H12" i="2"/>
  <c r="C59" i="2" s="1"/>
  <c r="G13" i="2"/>
  <c r="H13" i="2"/>
  <c r="G14" i="2"/>
  <c r="H14" i="2"/>
  <c r="H4" i="2"/>
  <c r="G4" i="2"/>
  <c r="F54" i="4" l="1"/>
  <c r="C39" i="4"/>
  <c r="F51" i="3"/>
  <c r="F55" i="3"/>
  <c r="F38" i="3"/>
  <c r="C51" i="3"/>
  <c r="F38" i="2"/>
  <c r="C56" i="2"/>
  <c r="F36" i="3"/>
  <c r="C53" i="3"/>
  <c r="C53" i="4"/>
  <c r="F53" i="4"/>
  <c r="C36" i="4"/>
  <c r="F36" i="4"/>
  <c r="F46" i="4" s="1"/>
  <c r="C55" i="4"/>
  <c r="C38" i="4"/>
  <c r="F52" i="4"/>
  <c r="F56" i="4"/>
  <c r="C37" i="4"/>
  <c r="C52" i="2"/>
  <c r="F39" i="2"/>
  <c r="F36" i="2"/>
  <c r="C55" i="2"/>
  <c r="C53" i="2"/>
  <c r="F37" i="2"/>
  <c r="C54" i="2"/>
  <c r="F39" i="3"/>
  <c r="C38" i="3"/>
  <c r="F54" i="3"/>
  <c r="F61" i="3" s="1"/>
  <c r="C54" i="3"/>
  <c r="F37" i="3"/>
  <c r="C37" i="3"/>
  <c r="C44" i="3" s="1"/>
  <c r="C52" i="3"/>
  <c r="C45" i="2"/>
  <c r="F64" i="2" l="1"/>
  <c r="C62" i="4"/>
  <c r="F45" i="3"/>
  <c r="C60" i="3"/>
  <c r="F63" i="4"/>
  <c r="C45" i="4"/>
  <c r="C62" i="2"/>
  <c r="F46" i="2"/>
</calcChain>
</file>

<file path=xl/sharedStrings.xml><?xml version="1.0" encoding="utf-8"?>
<sst xmlns="http://schemas.openxmlformats.org/spreadsheetml/2006/main" count="512" uniqueCount="88">
  <si>
    <t>Section</t>
  </si>
  <si>
    <t>Velocity</t>
  </si>
  <si>
    <t>hl</t>
  </si>
  <si>
    <t>Hv</t>
  </si>
  <si>
    <t>A</t>
  </si>
  <si>
    <t>B</t>
  </si>
  <si>
    <t>C</t>
  </si>
  <si>
    <t>Elbow in C</t>
  </si>
  <si>
    <t>Damper</t>
  </si>
  <si>
    <t>Damper in duct A</t>
  </si>
  <si>
    <t>Elbow</t>
  </si>
  <si>
    <t>T Section</t>
  </si>
  <si>
    <t>D</t>
  </si>
  <si>
    <t>Grill</t>
  </si>
  <si>
    <t>Duct D</t>
  </si>
  <si>
    <t>E</t>
  </si>
  <si>
    <t>Damper in duct D</t>
  </si>
  <si>
    <t>F</t>
  </si>
  <si>
    <t>Damper in duct F</t>
  </si>
  <si>
    <t>Duct F</t>
  </si>
  <si>
    <t>Elbow in F</t>
  </si>
  <si>
    <t>G</t>
  </si>
  <si>
    <t>Damper in duct I</t>
  </si>
  <si>
    <t>Damper in duct K</t>
  </si>
  <si>
    <t>Duct I</t>
  </si>
  <si>
    <t>Duct K</t>
  </si>
  <si>
    <t>H</t>
  </si>
  <si>
    <t>Elbow in H</t>
  </si>
  <si>
    <t>I</t>
  </si>
  <si>
    <t>J</t>
  </si>
  <si>
    <t>K</t>
  </si>
  <si>
    <t>Elbow in K</t>
  </si>
  <si>
    <t>Flow Rate</t>
  </si>
  <si>
    <t>Length (m)</t>
  </si>
  <si>
    <t>Velocity (m/s)</t>
  </si>
  <si>
    <t>Flow Rate (m3/s)</t>
  </si>
  <si>
    <t>hl (Pa/m)</t>
  </si>
  <si>
    <t>HI (Pa)</t>
  </si>
  <si>
    <t>Hv (Pa)</t>
  </si>
  <si>
    <t>De (mm)</t>
  </si>
  <si>
    <t>HL</t>
  </si>
  <si>
    <t>T to duct G from B (flow through Mains)</t>
  </si>
  <si>
    <t>T to duct C from B (Branch)</t>
  </si>
  <si>
    <t>T to duct D from C (branch)</t>
  </si>
  <si>
    <t>T to duct I from H (Branch)</t>
  </si>
  <si>
    <t>Intake</t>
  </si>
  <si>
    <t>Size (m)</t>
  </si>
  <si>
    <t>1 x 1</t>
  </si>
  <si>
    <t>Gradual Contraction</t>
  </si>
  <si>
    <t>K (Well Rounded)</t>
  </si>
  <si>
    <t>HL (Pressure drop) (Kpa)</t>
  </si>
  <si>
    <t>Path 1</t>
  </si>
  <si>
    <t>Loss (Pa)</t>
  </si>
  <si>
    <t>Grill in D</t>
  </si>
  <si>
    <t>Total Loss</t>
  </si>
  <si>
    <t>Path 2</t>
  </si>
  <si>
    <t>Grill in F</t>
  </si>
  <si>
    <t>Path 3</t>
  </si>
  <si>
    <t>Grill in I</t>
  </si>
  <si>
    <t>Path 4</t>
  </si>
  <si>
    <t>Loss</t>
  </si>
  <si>
    <t>Grill in K</t>
  </si>
  <si>
    <t>Possible rectangular dimensions</t>
  </si>
  <si>
    <t>•	526 (20.7) → (30in X 12in)
•	526 (20.7) → (20in X 18in)
•	523 (20.6) → (26in X 14in)
•	518 (20.4) → (22in X 16in)</t>
  </si>
  <si>
    <t>•	676 (26.6) → (30in X 20in)
•	688 (27.1) → (28in X 22in)
•	693 (27.3) → (26in X 24in)</t>
  </si>
  <si>
    <t>•	409 (16.1) → (30in X 8in)
•	419 (16.5) → (24in X 10in)
•	426 (16.8) → (20in X 12in)
•	417 (16.4) → (16in X 14in)</t>
  </si>
  <si>
    <t>•	384 (15.1) → (26in X 8in)
•	371 (14.6) → (24in X 8in)
•	368 (14.5) → (18in X 10in)
•	386 (15.2) → (20in X 10in)
•	361 (14.2) → (14in X 12in)
•	384 (15.1) → (16in X 12in)
•	389 (15.3) → (14in X 14in)</t>
  </si>
  <si>
    <t>•	465 (18.3) → (30in X 10in)
•	465 (18.3) → (24in X 12in)
•	462 (18.2) → (20in X 14in)
•	470 (18.5) → (18in X 16in)</t>
  </si>
  <si>
    <t>•	775 (30.5) → (30in X 26in)
•	805 (31.7) → (30in X 28in)
•	777 (30.6) → (28in X 28in)
•	833 (32.8) → (30in X 30in)</t>
  </si>
  <si>
    <t>Preffered duct size</t>
  </si>
  <si>
    <t>Damper in Duct D</t>
  </si>
  <si>
    <t>Damper in duct J</t>
  </si>
  <si>
    <t>Damper in Duct J</t>
  </si>
  <si>
    <t>Grille</t>
  </si>
  <si>
    <t>Elbow to grille (D)</t>
  </si>
  <si>
    <t>Elbow to grille (F)</t>
  </si>
  <si>
    <t>Elbow to grille (I)</t>
  </si>
  <si>
    <t>Elbow to grille (K)</t>
  </si>
  <si>
    <t>•	805 (31.7) → (30in X 28in)
•	833 (32.8) → (30in X 30in)
•	777 (30.6) → (28in X 28in)</t>
  </si>
  <si>
    <t>•	600 (23.7) → (30in X 16in)
•	597 (23.5) → (26in X 18in)
•	620 (24.4) → (28in X 18in)
•	607 (23.4) → (24in X 20in)
•	610 (24) → (22in X 22in)</t>
  </si>
  <si>
    <t>•	582 (22.9) → (28in X 16in)
•	577 (22.7) → (24in X 18in)
•	562 (22.9) → (22in X 20in)
•	561 (22.1) → (26in X 16in)</t>
  </si>
  <si>
    <t>•	465 (18.3) → (30in X 10in)
•	465 (18.3) → (24in X 12in)
•	483 (19) → (26in X 12in)
•	462 (18.2) → (20in X 14in)
•	485 (19.1) → (22in X 14in)
•	470 (18.5) → (18in X 16in)</t>
  </si>
  <si>
    <t>•	358 (14.1) → (22in X 8in)
•	371 (14.6) → (24in X 8in)
•	368 (14.5) → (18in X 10in)
•	361 (14.2) → (20in X 14in)
•	361 (14.2) → (14in X 12in)</t>
  </si>
  <si>
    <t>•	434 (17.1) → (26in X 10in)
•	426 (16.8) → (20in X 12in)
•	417 (16.4) → (16in X 14in)
•	439 (17.3) → (18in X 14in)</t>
  </si>
  <si>
    <t>•	371 (14.6) → (24in X 8in)
•	384 (15.1) → (26in X 8in)
•	368 (14.5) → (18in X 10in)
•	386 (15.2) → (20in X 10in)
•	361 (14.2) → (14in X 12in)
•	384 (15.1) → (16in X 12in)
•	389 (15.3) → (14in X 14in)</t>
  </si>
  <si>
    <t>Available Duct Size</t>
  </si>
  <si>
    <t>•	450 (17.7) → (28in X 10in)
•	447 (17.6) → (22in X 12in)
•	445 (17.5) → (16in X 16in)</t>
  </si>
  <si>
    <t>•	345 (13.6) → (30in X 6in)
•	342 (13.5) → (20in X 8in)
•	358 (14.1) → (22in X 8in)
•	348 (13.7) → (16in X 10in)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</si>
</sst>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0" fillId="0" borderId="0" xfId="0" applyNumberFormat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172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87C6737-2C3B-490B-9C0C-7ACC8842298F}" name="Table613" displayName="Table613" ref="B3:J14" totalsRowShown="0" headerRowDxfId="171" dataDxfId="170">
  <autoFilter ref="B3:J14" xr:uid="{48A70824-213A-4809-ACBF-4BDD0BD4DB52}"/>
  <tableColumns count="9">
    <tableColumn id="1" xr3:uid="{E3DB3868-5585-4DBF-B5C9-3E40DB197B78}" name="Section" dataDxfId="169"/>
    <tableColumn id="2" xr3:uid="{F992D898-3C51-46AE-8099-928D732B7280}" name="Length (m)" dataDxfId="168"/>
    <tableColumn id="3" xr3:uid="{2DEF7348-C08F-4D1C-8526-0EEDAF20A895}" name="Velocity (m/s)" dataDxfId="167"/>
    <tableColumn id="4" xr3:uid="{0910530D-19AA-4F00-8E77-C08490574DB6}" name="Flow Rate (m3/s)" dataDxfId="166"/>
    <tableColumn id="5" xr3:uid="{57488627-D788-48CF-A313-CFC4AE959EC5}" name="hl (Pa/m)" dataDxfId="165"/>
    <tableColumn id="6" xr3:uid="{35F1DFA4-719C-417C-B9A5-0C5E40AC98C7}" name="Hv (Pa)" dataDxfId="164">
      <calculatedColumnFormula>(Table613[[#This Row],[Velocity (m/s)]]/1.289)^2</calculatedColumnFormula>
    </tableColumn>
    <tableColumn id="7" xr3:uid="{1F7F26B3-CF0D-4342-807C-1AC8AF65EEBE}" name="HI (Pa)" dataDxfId="163">
      <calculatedColumnFormula>Table613[[#This Row],[hl (Pa/m)]]*Table613[[#This Row],[Length (m)]]</calculatedColumnFormula>
    </tableColumn>
    <tableColumn id="8" xr3:uid="{C5D6CCD3-A63A-4706-90A1-FA54550C98B7}" name="De (mm)" dataDxfId="162"/>
    <tableColumn id="9" xr3:uid="{E53A0C22-8263-4C9E-B9DB-CD2B3BC0ABA1}" name="Possible rectangular dimensions" dataDxfId="161"/>
  </tableColumns>
  <tableStyleInfo name="TableStyleDark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CFC544A-58B0-4B51-B7FF-ACCCBDC6C63A}" name="Table1023" displayName="Table1023" ref="H22:N23" totalsRowShown="0" headerRowDxfId="105" dataDxfId="104">
  <autoFilter ref="H22:N23" xr:uid="{651E52C8-2005-4514-BD63-10160AEF34DD}"/>
  <tableColumns count="7">
    <tableColumn id="1" xr3:uid="{AC59AEA3-85CE-4355-8DC1-5529A85611FB}" name="Intake" dataDxfId="103"/>
    <tableColumn id="2" xr3:uid="{DE779919-9B4A-436A-BCC9-0ACE60FACB68}" name="Size (m)" dataDxfId="102"/>
    <tableColumn id="3" xr3:uid="{60EF9DA8-CDAD-4AB1-A5B4-E8F1B0E85665}" name="K (Well Rounded)" dataDxfId="101"/>
    <tableColumn id="4" xr3:uid="{8499C74B-2C76-40CA-98E0-CBBCBC6A9190}" name="Flow Rate" dataDxfId="100"/>
    <tableColumn id="5" xr3:uid="{42EF2717-2CD2-4E1F-9FB1-C1CD17A112B6}" name="Velocity (m/s)" dataDxfId="99"/>
    <tableColumn id="6" xr3:uid="{2E5BC940-D00F-4A51-826C-B2818EB9AA50}" name="HL (Pressure drop) (Kpa)" dataDxfId="98"/>
    <tableColumn id="7" xr3:uid="{934924FF-08B5-4004-AE6D-CD156D3235DD}" name="hl" dataDxfId="97">
      <calculatedColumnFormula>(((Table1023[[#This Row],[Velocity (m/s)]]^2)/(2*9.81))*Table1023[[#This Row],[K (Well Rounded)]])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EC6712E-64A3-4797-851B-74108FAC2AE5}" name="Table1724" displayName="Table1724" ref="H26:L31" totalsRowShown="0" headerRowDxfId="96" dataDxfId="95">
  <autoFilter ref="H26:L31" xr:uid="{3EB16517-44D9-47EA-A8E6-143D0808DCA9}"/>
  <tableColumns count="5">
    <tableColumn id="1" xr3:uid="{064089EA-4048-4372-8062-83A0CEF87CD1}" name="Damper" dataDxfId="94"/>
    <tableColumn id="2" xr3:uid="{F7079AF8-B711-4DB6-8C66-3ED7168DACAE}" name="Velocity" dataDxfId="93"/>
    <tableColumn id="3" xr3:uid="{3CD4CCC5-6C01-4FBA-B548-22CAEA2A94DC}" name="C" dataDxfId="92"/>
    <tableColumn id="4" xr3:uid="{45F079A6-31C7-47AF-8E3B-C7729C94B4C3}" name="Hv" dataDxfId="91">
      <calculatedColumnFormula>(Table1724[[#This Row],[Velocity]]/1.289)^2</calculatedColumnFormula>
    </tableColumn>
    <tableColumn id="5" xr3:uid="{D4E5FE1F-6253-40BC-8422-D2BB13EB8670}" name="HL" dataDxfId="90">
      <calculatedColumnFormula>Table1724[[#This Row],[Hv]]*Table1724[[#This Row],[C]]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503CF8-F22F-43A4-96BE-8486639690E2}" name="Table62" displayName="Table62" ref="B3:J14" totalsRowShown="0" headerRowDxfId="89" dataDxfId="88">
  <autoFilter ref="B3:J14" xr:uid="{48A70824-213A-4809-ACBF-4BDD0BD4DB52}"/>
  <tableColumns count="9">
    <tableColumn id="1" xr3:uid="{9802A317-4AFB-442E-80E8-C07CA468581E}" name="Section" dataDxfId="87"/>
    <tableColumn id="2" xr3:uid="{8CC58EE7-E194-4BDD-B60E-3032100AF512}" name="Length (m)" dataDxfId="86"/>
    <tableColumn id="3" xr3:uid="{0DD31E8E-4F7C-4128-81A9-B28E491622FF}" name="Velocity (m/s)" dataDxfId="85"/>
    <tableColumn id="4" xr3:uid="{CC450C39-2DBE-4A1F-B332-C2011E336ADF}" name="Flow Rate (m3/s)" dataDxfId="84"/>
    <tableColumn id="5" xr3:uid="{E7B6A118-46D1-49BA-A743-82600209FA3C}" name="hl (Pa/m)" dataDxfId="83"/>
    <tableColumn id="6" xr3:uid="{56445D93-FB50-4176-991C-2E3705E877F1}" name="Hv (Pa)" dataDxfId="82">
      <calculatedColumnFormula>(Table62[[#This Row],[Velocity (m/s)]]/1.289)^2</calculatedColumnFormula>
    </tableColumn>
    <tableColumn id="7" xr3:uid="{91E15063-A0DC-480A-821F-74B46CB41EC4}" name="HI (Pa)" dataDxfId="81">
      <calculatedColumnFormula>Table62[[#This Row],[hl (Pa/m)]]*Table62[[#This Row],[Length (m)]]</calculatedColumnFormula>
    </tableColumn>
    <tableColumn id="8" xr3:uid="{8E95DD49-C6E7-4759-9DC1-E4AEEFE5E7CE}" name="De (mm)" dataDxfId="80"/>
    <tableColumn id="9" xr3:uid="{FEBD6F28-F9E3-408A-BD88-4E7E64947194}" name="Preffered duct size" dataDxfId="79"/>
  </tableColumns>
  <tableStyleInfo name="TableStyleDark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B0E0BF-5216-4372-B040-B4ACE4485480}" name="Table73" displayName="Table73" ref="B16:F24" totalsRowShown="0" headerRowDxfId="78" dataDxfId="77">
  <autoFilter ref="B16:F24" xr:uid="{5CE282F6-08D8-4F2E-9E9D-DDD3878A96F4}"/>
  <tableColumns count="5">
    <tableColumn id="1" xr3:uid="{6D50470A-6C80-44A3-8AA2-EEA8DD50E6D7}" name="Elbow" dataDxfId="76"/>
    <tableColumn id="2" xr3:uid="{F5E76EA9-8480-4DE2-A00F-365C3CD06F72}" name="Velocity" dataDxfId="75"/>
    <tableColumn id="3" xr3:uid="{B480C798-3FBF-4728-807B-6E53CDC97E3D}" name="C" dataDxfId="74"/>
    <tableColumn id="4" xr3:uid="{8C15A5DF-126F-41FD-AB95-8B360372D5D4}" name="Hv" dataDxfId="73">
      <calculatedColumnFormula>(Table73[[#This Row],[Velocity]]/1.289)^2</calculatedColumnFormula>
    </tableColumn>
    <tableColumn id="5" xr3:uid="{DA7F9738-EBC9-4F2C-B62A-B708092AB4E7}" name="HL" dataDxfId="72">
      <calculatedColumnFormula>Table73[[#This Row],[C]]*Table73[[#This Row],[Hv]]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2EA3F0-B7CA-4ADA-A87A-D9C87F7A3D14}" name="Table84" displayName="Table84" ref="B26:F30" totalsRowShown="0" headerRowDxfId="71" dataDxfId="70">
  <autoFilter ref="B26:F30" xr:uid="{69075C60-B2D9-4760-AEE3-2CADFEDC0CC7}"/>
  <tableColumns count="5">
    <tableColumn id="1" xr3:uid="{9AB97573-2DF8-486F-864A-39CB94158E35}" name="T Section" dataDxfId="69"/>
    <tableColumn id="2" xr3:uid="{ED2B4A99-FE3C-47E5-9E0D-92A5865B45F9}" name="Velocity" dataDxfId="68"/>
    <tableColumn id="3" xr3:uid="{8041BFAA-CB2F-45CF-BE12-A0B92FB6BAAC}" name="C" dataDxfId="67"/>
    <tableColumn id="4" xr3:uid="{572FB939-EB27-4F35-9C91-3792E15A29D2}" name="Hv" dataDxfId="66">
      <calculatedColumnFormula>(Table84[[#This Row],[Velocity]]/1.289)^2</calculatedColumnFormula>
    </tableColumn>
    <tableColumn id="5" xr3:uid="{C148BE08-170F-4D4D-8C36-E5A0E1CAA7BD}" name="HL" dataDxfId="65">
      <calculatedColumnFormula>Table84[[#This Row],[Hv]]*Table84[[#This Row],[C]]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16487E8-0A06-4F2F-887C-23D6E44B4F9B}" name="Table95" displayName="Table95" ref="H16:I20" totalsRowShown="0" headerRowDxfId="64" dataDxfId="63">
  <autoFilter ref="H16:I20" xr:uid="{DB902649-C9EA-4237-A776-59DD545D13CE}"/>
  <tableColumns count="2">
    <tableColumn id="1" xr3:uid="{41FC826B-087D-4E5E-B2A3-9BAECAA1B707}" name="Grill" dataDxfId="62"/>
    <tableColumn id="2" xr3:uid="{3509B41E-53DF-4A6D-A83C-20487F6EAFFF}" name="HL" dataDxfId="6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80C7B3-7524-4249-A257-0E2B70E1F5AB}" name="Table106" displayName="Table106" ref="H22:N23" totalsRowShown="0" headerRowDxfId="60" dataDxfId="59">
  <autoFilter ref="H22:N23" xr:uid="{651E52C8-2005-4514-BD63-10160AEF34DD}"/>
  <tableColumns count="7">
    <tableColumn id="1" xr3:uid="{98EFCC3E-A4B0-4B07-9D29-67787F2D3CE3}" name="Intake" dataDxfId="58"/>
    <tableColumn id="2" xr3:uid="{0BBC829F-B650-4F0A-84A8-E812AEBA150C}" name="Size (m)" dataDxfId="57"/>
    <tableColumn id="3" xr3:uid="{74AE3FEA-7576-4A89-9E56-C360D8191CA0}" name="K (Well Rounded)" dataDxfId="56"/>
    <tableColumn id="4" xr3:uid="{48EBA124-AAA3-4076-A0F7-384ED62DD987}" name="Flow Rate" dataDxfId="55"/>
    <tableColumn id="5" xr3:uid="{BFA27114-B4F3-4ACF-A4D1-CA29B6BBF258}" name="Velocity (m/s)" dataDxfId="54"/>
    <tableColumn id="6" xr3:uid="{B4E8B939-C170-4BF7-AF9C-86CFE487F0D0}" name="HL (Pressure drop) (Kpa)" dataDxfId="53"/>
    <tableColumn id="7" xr3:uid="{7F53B77F-8E64-46FB-9BCF-7F36F37E2846}" name="hl" dataDxfId="52">
      <calculatedColumnFormula>(((Table106[[#This Row],[Velocity (m/s)]]^2)/(2*9.81))*Table106[[#This Row],[K (Well Rounded)]])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BE28C30-D178-4B5F-A1E7-B078DB1BD48C}" name="Table1712" displayName="Table1712" ref="H26:L31" totalsRowShown="0" headerRowDxfId="51" dataDxfId="50">
  <autoFilter ref="H26:L31" xr:uid="{3EB16517-44D9-47EA-A8E6-143D0808DCA9}"/>
  <tableColumns count="5">
    <tableColumn id="1" xr3:uid="{EC93193E-94B4-4558-8DE1-28A37EFAFA0A}" name="Damper" dataDxfId="49"/>
    <tableColumn id="2" xr3:uid="{2474B5B4-19D5-47F2-A363-2EC05F01B579}" name="Velocity" dataDxfId="48"/>
    <tableColumn id="3" xr3:uid="{10BCB19F-E00B-4AF6-9B44-7F2984C33713}" name="C" dataDxfId="47"/>
    <tableColumn id="4" xr3:uid="{3B641248-4856-446B-98C8-A4B620100293}" name="Hv" dataDxfId="46">
      <calculatedColumnFormula>(Table1712[[#This Row],[Velocity]]/1.289)^2</calculatedColumnFormula>
    </tableColumn>
    <tableColumn id="5" xr3:uid="{514BB666-2FF4-4D59-9EC8-747F49C7BD2E}" name="HL" dataDxfId="45">
      <calculatedColumnFormula>Table1712[[#This Row],[Hv]]*Table1712[[#This Row],[C]]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C94816-8A92-49C6-BD2C-F9B860AD874D}" name="Table6" displayName="Table6" ref="B3:J14" totalsRowShown="0" headerRowDxfId="44" dataDxfId="43">
  <autoFilter ref="B3:J14" xr:uid="{48A70824-213A-4809-ACBF-4BDD0BD4DB52}"/>
  <tableColumns count="9">
    <tableColumn id="1" xr3:uid="{69CA26BA-9731-4D09-8128-69BB007F6852}" name="Section" dataDxfId="42"/>
    <tableColumn id="2" xr3:uid="{A7F741A3-BEED-413E-927B-98891C46751F}" name="Length (m)" dataDxfId="41"/>
    <tableColumn id="3" xr3:uid="{E05A4E79-14D3-4B07-9B06-0E00CA05A02C}" name="Velocity (m/s)" dataDxfId="40"/>
    <tableColumn id="4" xr3:uid="{1AA2B46F-7862-4CDB-BF5C-4D5F82082853}" name="Flow Rate (m3/s)" dataDxfId="39"/>
    <tableColumn id="5" xr3:uid="{0E31EE45-07A8-4793-B6B3-252D57706813}" name="hl (Pa/m)" dataDxfId="38"/>
    <tableColumn id="6" xr3:uid="{892B0DB2-A7C0-45ED-B3E3-04302E768620}" name="Hv (Pa)" dataDxfId="37">
      <calculatedColumnFormula>(Table6[[#This Row],[Velocity (m/s)]]/1.289)^2</calculatedColumnFormula>
    </tableColumn>
    <tableColumn id="7" xr3:uid="{ACD42DBA-7607-4EAA-97D3-E3E715CDE981}" name="HI (Pa)" dataDxfId="36">
      <calculatedColumnFormula>Table6[[#This Row],[hl (Pa/m)]]*Table6[[#This Row],[Length (m)]]</calculatedColumnFormula>
    </tableColumn>
    <tableColumn id="8" xr3:uid="{2EDBEAF7-664D-4F2A-8998-8E374D16659A}" name="De (mm)" dataDxfId="35"/>
    <tableColumn id="9" xr3:uid="{025DF7AD-D6A9-4CF9-BD28-C1F0DF7C2353}" name="Available Duct Size" dataDxfId="34"/>
  </tableColumns>
  <tableStyleInfo name="TableStyleDark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B46B863-9E20-4F3D-B1B3-B9E9F91F4C08}" name="Table7" displayName="Table7" ref="B16:F24" totalsRowShown="0" headerRowDxfId="33" dataDxfId="32">
  <autoFilter ref="B16:F24" xr:uid="{5CE282F6-08D8-4F2E-9E9D-DDD3878A96F4}"/>
  <tableColumns count="5">
    <tableColumn id="1" xr3:uid="{7960B9D6-571F-4962-A245-B337239863DB}" name="Elbow" dataDxfId="31"/>
    <tableColumn id="2" xr3:uid="{A98F9454-A338-4C6C-AB46-CD151A6CF21D}" name="Velocity" dataDxfId="30"/>
    <tableColumn id="3" xr3:uid="{763EDA63-B453-4D10-AF95-9B8796868A0E}" name="C" dataDxfId="29"/>
    <tableColumn id="4" xr3:uid="{1E94D20C-8F6C-45C7-A963-E2642B35D210}" name="Hv" dataDxfId="28">
      <calculatedColumnFormula>(Table7[[#This Row],[Velocity]]/1.289)^2</calculatedColumnFormula>
    </tableColumn>
    <tableColumn id="5" xr3:uid="{09A9590C-3398-4056-B048-A40376535691}" name="HL" dataDxfId="27">
      <calculatedColumnFormula>Table7[[#This Row],[C]]*Table7[[#This Row],[Hv]]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B27C221-A2A4-46EA-B8C1-68B9AB03A56A}" name="Table714" displayName="Table714" ref="B16:F24" totalsRowShown="0" headerRowDxfId="160" dataDxfId="159">
  <autoFilter ref="B16:F24" xr:uid="{5CE282F6-08D8-4F2E-9E9D-DDD3878A96F4}"/>
  <tableColumns count="5">
    <tableColumn id="1" xr3:uid="{D98D1028-528E-45AA-BE47-03D02979DC65}" name="Elbow" dataDxfId="158"/>
    <tableColumn id="2" xr3:uid="{8C77FFCF-6380-41B5-9293-5F0B67A29946}" name="Velocity" dataDxfId="157"/>
    <tableColumn id="3" xr3:uid="{CF288C87-B8A6-4EE7-8223-D4B4D5A211B2}" name="C" dataDxfId="156"/>
    <tableColumn id="4" xr3:uid="{C20BCE00-D975-4802-9928-C53C3AD03DFF}" name="Hv" dataDxfId="155">
      <calculatedColumnFormula>(Table714[[#This Row],[Velocity]]/1.289)^2</calculatedColumnFormula>
    </tableColumn>
    <tableColumn id="5" xr3:uid="{20D5565B-181E-4738-9DDF-7E4F37B73087}" name="HL" dataDxfId="154">
      <calculatedColumnFormula>Table714[[#This Row],[C]]*Table714[[#This Row],[Hv]]</calculatedColumn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DB6C419-B7E9-4ACE-BCB2-4C706FF523CB}" name="Table8" displayName="Table8" ref="B26:F30" totalsRowShown="0" headerRowDxfId="26" dataDxfId="25">
  <autoFilter ref="B26:F30" xr:uid="{69075C60-B2D9-4760-AEE3-2CADFEDC0CC7}"/>
  <tableColumns count="5">
    <tableColumn id="1" xr3:uid="{2F7AE372-4A93-45F0-BA30-B5FEBCA0004A}" name="T Section" dataDxfId="24"/>
    <tableColumn id="2" xr3:uid="{E5BFA879-035A-415E-B408-50B43E9CB23E}" name="Velocity" dataDxfId="23"/>
    <tableColumn id="3" xr3:uid="{A57D135C-0863-43B5-A0D0-B229186F5D02}" name="C" dataDxfId="22"/>
    <tableColumn id="4" xr3:uid="{4967FC68-5F91-4D13-A81A-2CF25DAF32D2}" name="Hv" dataDxfId="21">
      <calculatedColumnFormula>(Table8[[#This Row],[Velocity]]/1.289)^2</calculatedColumnFormula>
    </tableColumn>
    <tableColumn id="5" xr3:uid="{0EE36C46-11FA-43C3-AA99-19B2989D94E9}" name="HL" dataDxfId="20">
      <calculatedColumnFormula>Table8[[#This Row],[Hv]]*Table8[[#This Row],[C]]</calculatedColumnFormula>
    </tableColumn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478F37F-E321-4079-8449-CE5EC9163031}" name="Table9" displayName="Table9" ref="H16:I20" totalsRowShown="0" headerRowDxfId="19" dataDxfId="18">
  <autoFilter ref="H16:I20" xr:uid="{DB902649-C9EA-4237-A776-59DD545D13CE}"/>
  <tableColumns count="2">
    <tableColumn id="1" xr3:uid="{4EEA776C-9F6D-442D-BD06-F90B89B24419}" name="Grill" dataDxfId="17"/>
    <tableColumn id="2" xr3:uid="{AE22AF2E-84BB-420B-87D3-80249DBA1B12}" name="HL" dataDxfId="16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96CE4E7-4D08-4549-981F-859BE89F2415}" name="Table10" displayName="Table10" ref="H22:N23" totalsRowShown="0" headerRowDxfId="15" dataDxfId="14">
  <autoFilter ref="H22:N23" xr:uid="{651E52C8-2005-4514-BD63-10160AEF34DD}"/>
  <tableColumns count="7">
    <tableColumn id="1" xr3:uid="{A3DFB103-8258-4335-BBA3-7F3BDE02E74A}" name="Intake" dataDxfId="13"/>
    <tableColumn id="2" xr3:uid="{512D1626-67AC-4B6B-ABDC-10C7F063A6C5}" name="Size (m)" dataDxfId="12"/>
    <tableColumn id="3" xr3:uid="{E7ACEC19-8FC3-49B2-A32B-E5E4DDE2DB8E}" name="K (Well Rounded)" dataDxfId="11"/>
    <tableColumn id="4" xr3:uid="{53C61903-9F73-43FC-BF3D-62AB5041DEAD}" name="Flow Rate" dataDxfId="10"/>
    <tableColumn id="5" xr3:uid="{57D00445-B59A-43AC-895D-5B3CC668A017}" name="Velocity (m/s)" dataDxfId="9"/>
    <tableColumn id="6" xr3:uid="{B307DD85-4AC1-40E4-8722-6105610A8DBA}" name="HL (Pressure drop) (Kpa)" dataDxfId="8"/>
    <tableColumn id="7" xr3:uid="{44231282-0F8C-4014-82A8-ED4724D0C282}" name="hl" dataDxfId="7">
      <calculatedColumnFormula>(((Table10[[#This Row],[Velocity (m/s)]]^2)/(2*9.81))*Table10[[#This Row],[K (Well Rounded)]])</calculatedColumnFormula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EE52705-25D9-46A6-95D1-F639F6A6E937}" name="Table17" displayName="Table17" ref="H26:L32" totalsRowShown="0" headerRowDxfId="6" dataDxfId="5">
  <autoFilter ref="H26:L32" xr:uid="{3EB16517-44D9-47EA-A8E6-143D0808DCA9}"/>
  <tableColumns count="5">
    <tableColumn id="1" xr3:uid="{D0DCCC75-92A7-4399-AEBC-107C848D77E8}" name="Damper" dataDxfId="4"/>
    <tableColumn id="2" xr3:uid="{D8549079-1042-4C2B-9DD8-E76AE9DEBA82}" name="Velocity" dataDxfId="3"/>
    <tableColumn id="3" xr3:uid="{6A43000D-8285-4025-8CB5-2547B9EF474D}" name="C" dataDxfId="2"/>
    <tableColumn id="4" xr3:uid="{26215A5F-A517-4589-81F1-BEFBEFA570F8}" name="Hv" dataDxfId="1">
      <calculatedColumnFormula>(Table17[[#This Row],[Velocity]]/1.289)^2</calculatedColumnFormula>
    </tableColumn>
    <tableColumn id="5" xr3:uid="{E1F1373A-3BBC-4121-B032-F96B99A40FA1}" name="HL" dataDxfId="0">
      <calculatedColumnFormula>Table17[[#This Row],[Hv]]*Table17[[#This Row],[C]]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E4C8B08-96B5-4362-9981-4E14CF08FF0F}" name="Table815" displayName="Table815" ref="B26:F30" totalsRowShown="0" headerRowDxfId="153" dataDxfId="152">
  <autoFilter ref="B26:F30" xr:uid="{69075C60-B2D9-4760-AEE3-2CADFEDC0CC7}"/>
  <tableColumns count="5">
    <tableColumn id="1" xr3:uid="{15283116-4AE1-4960-B744-5799B5C71E87}" name="T Section" dataDxfId="151"/>
    <tableColumn id="2" xr3:uid="{72800A41-777E-43F1-9A11-238CEB8293A5}" name="Velocity" dataDxfId="150"/>
    <tableColumn id="3" xr3:uid="{A1C0C408-95D9-45D6-894E-178262B8D9F3}" name="C" dataDxfId="149"/>
    <tableColumn id="4" xr3:uid="{194916D9-9CB2-4FBF-8E0E-B7A923E3E411}" name="Hv" dataDxfId="148">
      <calculatedColumnFormula>(Table815[[#This Row],[Velocity]]/1.289)^2</calculatedColumnFormula>
    </tableColumn>
    <tableColumn id="5" xr3:uid="{C9CD5F5A-6DAA-466D-BCF9-1E56908DD259}" name="HL" dataDxfId="147">
      <calculatedColumnFormula>Table815[[#This Row],[Hv]]*Table815[[#This Row],[C]]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3D04BB3-8B4D-45B5-97B8-AC7266B5215E}" name="Table916" displayName="Table916" ref="H16:I20" totalsRowShown="0" headerRowDxfId="146" dataDxfId="145">
  <autoFilter ref="H16:I20" xr:uid="{DB902649-C9EA-4237-A776-59DD545D13CE}"/>
  <tableColumns count="2">
    <tableColumn id="1" xr3:uid="{F46B3D40-D44F-46B8-A0A1-DB1DD2824EAA}" name="Grille" dataDxfId="144"/>
    <tableColumn id="2" xr3:uid="{F74C646F-9B65-4AA9-A519-6EE92D5465BC}" name="HL" dataDxfId="1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58D2481-3E59-440C-8049-1E0CBA74822F}" name="Table1017" displayName="Table1017" ref="H22:N23" totalsRowShown="0" headerRowDxfId="142" dataDxfId="141">
  <autoFilter ref="H22:N23" xr:uid="{651E52C8-2005-4514-BD63-10160AEF34DD}"/>
  <tableColumns count="7">
    <tableColumn id="1" xr3:uid="{C6788F10-E1D5-49D3-AB53-070BE4F6BD2B}" name="Intake" dataDxfId="140"/>
    <tableColumn id="2" xr3:uid="{A862BC91-E4D6-4E13-9B16-5D3C962A8513}" name="Size (m)" dataDxfId="139"/>
    <tableColumn id="3" xr3:uid="{60EC0BDC-07E7-4140-A6EF-D60EF181E397}" name="K (Well Rounded)" dataDxfId="138"/>
    <tableColumn id="4" xr3:uid="{CF54243A-806F-418F-840B-BDD281835595}" name="Flow Rate" dataDxfId="137"/>
    <tableColumn id="5" xr3:uid="{8FC46709-62EB-4A78-99FD-BC1BD5BBEA01}" name="Velocity (m/s)" dataDxfId="136"/>
    <tableColumn id="6" xr3:uid="{7967E4AA-1B2F-4539-9BE6-5EF14226006B}" name="HL (Pressure drop) (Kpa)" dataDxfId="135"/>
    <tableColumn id="7" xr3:uid="{44D59931-D609-4B0E-9440-02E5C6EF62F1}" name="hl" dataDxfId="134">
      <calculatedColumnFormula>(((Table1017[[#This Row],[Velocity (m/s)]]^2)/(2*9.81))*Table1017[[#This Row],[K (Well Rounded)]])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DFD8BED-0322-47D8-8AFE-FE5D89A20F7E}" name="Table619" displayName="Table619" ref="B3:I14" totalsRowShown="0" headerRowDxfId="133" dataDxfId="132">
  <autoFilter ref="B3:I14" xr:uid="{48A70824-213A-4809-ACBF-4BDD0BD4DB52}"/>
  <tableColumns count="8">
    <tableColumn id="1" xr3:uid="{E18C5CE2-EA30-4681-937C-5CB979C93330}" name="Section" dataDxfId="131"/>
    <tableColumn id="2" xr3:uid="{70414867-4532-42A2-91FD-5C042A841C8C}" name="Length (m)" dataDxfId="130"/>
    <tableColumn id="3" xr3:uid="{1D049B74-A01A-41A6-AB83-61BF66BD1F85}" name="Velocity (m/s)" dataDxfId="129"/>
    <tableColumn id="4" xr3:uid="{2CEB46F9-8359-48A0-B09D-61520FCB787A}" name="Flow Rate (m3/s)" dataDxfId="128"/>
    <tableColumn id="5" xr3:uid="{75C58003-84DC-41BB-AF84-AD47A2A42A6C}" name="hl (Pa/m)" dataDxfId="127"/>
    <tableColumn id="6" xr3:uid="{93FB4383-FB02-4C14-84B0-BC93A53EEE55}" name="Hv (Pa)" dataDxfId="126">
      <calculatedColumnFormula>(Table619[[#This Row],[Velocity (m/s)]]/1.289)^2</calculatedColumnFormula>
    </tableColumn>
    <tableColumn id="7" xr3:uid="{9D7EA91C-58FB-4C2D-8B9C-36B462128918}" name="HI (Pa)" dataDxfId="125">
      <calculatedColumnFormula>Table619[[#This Row],[hl (Pa/m)]]*Table619[[#This Row],[Length (m)]]</calculatedColumnFormula>
    </tableColumn>
    <tableColumn id="8" xr3:uid="{6FCEDCC8-DE84-4214-AF77-83AB8FE37C77}" name="De (mm)" dataDxfId="124"/>
  </tableColumns>
  <tableStyleInfo name="TableStyleDark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281BCFB-7C28-4015-B4BF-D63EB08A703B}" name="Table720" displayName="Table720" ref="B16:F24" totalsRowShown="0" headerRowDxfId="123" dataDxfId="122">
  <autoFilter ref="B16:F24" xr:uid="{5CE282F6-08D8-4F2E-9E9D-DDD3878A96F4}"/>
  <tableColumns count="5">
    <tableColumn id="1" xr3:uid="{481D9C8C-734A-4B85-BC5B-B613ECCFFEB4}" name="Elbow" dataDxfId="121"/>
    <tableColumn id="2" xr3:uid="{83599B59-D341-4F32-B0FE-773119A07069}" name="Velocity" dataDxfId="120"/>
    <tableColumn id="3" xr3:uid="{CA65A877-6887-4E7B-85AE-326D93413B93}" name="C" dataDxfId="119"/>
    <tableColumn id="4" xr3:uid="{9E2DEF78-9B4B-4E47-A3A0-BB50D334C978}" name="Hv" dataDxfId="118">
      <calculatedColumnFormula>(Table720[[#This Row],[Velocity]]/1.289)^2</calculatedColumnFormula>
    </tableColumn>
    <tableColumn id="5" xr3:uid="{5E3E6A4F-1A79-4607-B625-746C16CFD8B3}" name="HL" dataDxfId="117">
      <calculatedColumnFormula>Table720[[#This Row],[C]]*Table720[[#This Row],[Hv]]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167CD59-621F-44B2-A0C5-A5E0A65CD1E5}" name="Table821" displayName="Table821" ref="B26:F30" totalsRowShown="0" headerRowDxfId="116" dataDxfId="115">
  <autoFilter ref="B26:F30" xr:uid="{69075C60-B2D9-4760-AEE3-2CADFEDC0CC7}"/>
  <tableColumns count="5">
    <tableColumn id="1" xr3:uid="{A44C98F5-33B5-4341-8147-6EF0BFDCD16A}" name="T Section" dataDxfId="114"/>
    <tableColumn id="2" xr3:uid="{07B9F992-0E16-43B8-B0C1-0813F1FFFFCA}" name="Velocity" dataDxfId="113"/>
    <tableColumn id="3" xr3:uid="{B6EDA0E0-EC92-4F77-899E-E0193F453126}" name="C" dataDxfId="112"/>
    <tableColumn id="4" xr3:uid="{1843BF2E-778C-4F5E-9153-32C604C2C500}" name="Hv" dataDxfId="111">
      <calculatedColumnFormula>(Table821[[#This Row],[Velocity]]/1.289)^2</calculatedColumnFormula>
    </tableColumn>
    <tableColumn id="5" xr3:uid="{24E64DB4-1B15-4E59-B9D6-92BD873C54C6}" name="HL" dataDxfId="110">
      <calculatedColumnFormula>Table821[[#This Row],[Hv]]*Table821[[#This Row],[C]]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DA045D-EBC5-4D18-B910-7F2121B412B7}" name="Table922" displayName="Table922" ref="H16:I20" totalsRowShown="0" headerRowDxfId="109" dataDxfId="108">
  <autoFilter ref="H16:I20" xr:uid="{DB902649-C9EA-4237-A776-59DD545D13CE}"/>
  <tableColumns count="2">
    <tableColumn id="1" xr3:uid="{242C9540-F63F-46DC-8A61-BF8B32C553F3}" name="Grill" dataDxfId="107"/>
    <tableColumn id="2" xr3:uid="{900B0AC0-C509-447D-BDC6-9384B275050C}" name="HL" dataDxfId="10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3F78F-78B2-4798-A8C1-DDB336AEE0E4}">
  <dimension ref="A3:N61"/>
  <sheetViews>
    <sheetView workbookViewId="0">
      <selection activeCell="J10" sqref="J10"/>
    </sheetView>
  </sheetViews>
  <sheetFormatPr defaultRowHeight="14.4" x14ac:dyDescent="0.3"/>
  <cols>
    <col min="2" max="2" width="33.44140625" customWidth="1"/>
    <col min="3" max="3" width="15.33203125" customWidth="1"/>
    <col min="4" max="4" width="18.88671875" customWidth="1"/>
    <col min="5" max="5" width="34.77734375" customWidth="1"/>
    <col min="6" max="6" width="17" customWidth="1"/>
    <col min="7" max="7" width="14.21875" customWidth="1"/>
    <col min="8" max="8" width="22.44140625" customWidth="1"/>
    <col min="9" max="9" width="15.77734375" customWidth="1"/>
    <col min="10" max="10" width="30.33203125" customWidth="1"/>
    <col min="11" max="11" width="14.44140625" customWidth="1"/>
    <col min="12" max="12" width="12.33203125" customWidth="1"/>
    <col min="13" max="13" width="22.33203125" customWidth="1"/>
  </cols>
  <sheetData>
    <row r="3" spans="1:12" x14ac:dyDescent="0.3">
      <c r="B3" s="1" t="s">
        <v>0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38</v>
      </c>
      <c r="H3" s="1" t="s">
        <v>37</v>
      </c>
      <c r="I3" s="1" t="s">
        <v>39</v>
      </c>
      <c r="J3" s="1" t="s">
        <v>62</v>
      </c>
    </row>
    <row r="4" spans="1:12" ht="57.6" x14ac:dyDescent="0.3">
      <c r="B4" s="11" t="s">
        <v>4</v>
      </c>
      <c r="C4" s="11">
        <v>15.2</v>
      </c>
      <c r="D4" s="11">
        <v>4.3</v>
      </c>
      <c r="E4" s="11">
        <v>2.2799999999999998</v>
      </c>
      <c r="F4" s="11">
        <v>0.23</v>
      </c>
      <c r="G4" s="11">
        <f>(Table613[[#This Row],[Velocity (m/s)]]/1.289)^2</f>
        <v>11.128357691536852</v>
      </c>
      <c r="H4" s="11">
        <f>Table613[[#This Row],[hl (Pa/m)]]*Table613[[#This Row],[Length (m)]]</f>
        <v>3.496</v>
      </c>
      <c r="I4" s="12">
        <v>795</v>
      </c>
      <c r="J4" s="13" t="s">
        <v>68</v>
      </c>
    </row>
    <row r="5" spans="1:12" ht="43.2" x14ac:dyDescent="0.3">
      <c r="B5" s="11" t="s">
        <v>5</v>
      </c>
      <c r="C5" s="11">
        <v>10.7</v>
      </c>
      <c r="D5" s="11">
        <v>6.1</v>
      </c>
      <c r="E5" s="11">
        <v>2.2799999999999998</v>
      </c>
      <c r="F5" s="11">
        <v>0.57999999999999996</v>
      </c>
      <c r="G5" s="11">
        <f>(Table613[[#This Row],[Velocity (m/s)]]/1.289)^2</f>
        <v>22.39514276376886</v>
      </c>
      <c r="H5" s="11">
        <f>Table613[[#This Row],[hl (Pa/m)]]*Table613[[#This Row],[Length (m)]]</f>
        <v>6.2059999999999995</v>
      </c>
      <c r="I5" s="12">
        <v>688</v>
      </c>
      <c r="J5" s="13" t="s">
        <v>64</v>
      </c>
    </row>
    <row r="6" spans="1:12" ht="57.6" x14ac:dyDescent="0.3">
      <c r="B6" s="11" t="s">
        <v>6</v>
      </c>
      <c r="C6" s="11">
        <v>6.1</v>
      </c>
      <c r="D6" s="11">
        <v>4.9000000000000004</v>
      </c>
      <c r="E6" s="11">
        <v>1.1399999999999999</v>
      </c>
      <c r="F6" s="11">
        <v>0.55000000000000004</v>
      </c>
      <c r="G6" s="11">
        <f>(Table613[[#This Row],[Velocity (m/s)]]/1.289)^2</f>
        <v>14.450614828220651</v>
      </c>
      <c r="H6" s="11">
        <f>Table613[[#This Row],[hl (Pa/m)]]*Table613[[#This Row],[Length (m)]]</f>
        <v>3.355</v>
      </c>
      <c r="I6" s="12">
        <v>525</v>
      </c>
      <c r="J6" s="13" t="s">
        <v>63</v>
      </c>
    </row>
    <row r="7" spans="1:12" ht="57.6" x14ac:dyDescent="0.3">
      <c r="B7" s="11" t="s">
        <v>12</v>
      </c>
      <c r="C7" s="11">
        <v>5.5</v>
      </c>
      <c r="D7" s="11">
        <v>4</v>
      </c>
      <c r="E7" s="11">
        <v>0.56999999999999995</v>
      </c>
      <c r="F7" s="11">
        <v>0.45</v>
      </c>
      <c r="G7" s="11">
        <f>(Table613[[#This Row],[Velocity (m/s)]]/1.289)^2</f>
        <v>9.6297308309675298</v>
      </c>
      <c r="H7" s="11">
        <f>Table613[[#This Row],[hl (Pa/m)]]*Table613[[#This Row],[Length (m)]]</f>
        <v>2.4750000000000001</v>
      </c>
      <c r="I7" s="12">
        <v>420</v>
      </c>
      <c r="J7" s="13" t="s">
        <v>65</v>
      </c>
    </row>
    <row r="8" spans="1:12" ht="100.8" x14ac:dyDescent="0.3">
      <c r="B8" s="11" t="s">
        <v>15</v>
      </c>
      <c r="C8" s="11">
        <v>9.1</v>
      </c>
      <c r="D8" s="11">
        <v>4.9000000000000004</v>
      </c>
      <c r="E8" s="11">
        <v>0.56999999999999995</v>
      </c>
      <c r="F8" s="11">
        <v>0.78</v>
      </c>
      <c r="G8" s="11">
        <f>(Table613[[#This Row],[Velocity (m/s)]]/1.289)^2</f>
        <v>14.450614828220651</v>
      </c>
      <c r="H8" s="11">
        <f>Table613[[#This Row],[hl (Pa/m)]]*Table613[[#This Row],[Length (m)]]</f>
        <v>7.0979999999999999</v>
      </c>
      <c r="I8" s="12">
        <v>375</v>
      </c>
      <c r="J8" s="13" t="s">
        <v>66</v>
      </c>
    </row>
    <row r="9" spans="1:12" ht="57.6" x14ac:dyDescent="0.3">
      <c r="B9" s="11" t="s">
        <v>17</v>
      </c>
      <c r="C9" s="11">
        <v>5.5</v>
      </c>
      <c r="D9" s="11">
        <v>4</v>
      </c>
      <c r="E9" s="11">
        <v>0.56999999999999995</v>
      </c>
      <c r="F9" s="11">
        <v>0.45</v>
      </c>
      <c r="G9" s="11">
        <f>(Table613[[#This Row],[Velocity (m/s)]]/1.289)^2</f>
        <v>9.6297308309675298</v>
      </c>
      <c r="H9" s="11">
        <f>Table613[[#This Row],[hl (Pa/m)]]*Table613[[#This Row],[Length (m)]]</f>
        <v>2.4750000000000001</v>
      </c>
      <c r="I9" s="12">
        <v>420</v>
      </c>
      <c r="J9" s="13" t="s">
        <v>65</v>
      </c>
    </row>
    <row r="10" spans="1:12" ht="57.6" x14ac:dyDescent="0.3">
      <c r="B10" s="11" t="s">
        <v>21</v>
      </c>
      <c r="C10" s="11">
        <v>12.2</v>
      </c>
      <c r="D10" s="11">
        <v>6.1</v>
      </c>
      <c r="E10" s="11">
        <v>1.1399999999999999</v>
      </c>
      <c r="F10" s="11">
        <v>0.93</v>
      </c>
      <c r="G10" s="11">
        <f>(Table613[[#This Row],[Velocity (m/s)]]/1.289)^2</f>
        <v>22.39514276376886</v>
      </c>
      <c r="H10" s="11">
        <f>Table613[[#This Row],[hl (Pa/m)]]*Table613[[#This Row],[Length (m)]]</f>
        <v>11.346</v>
      </c>
      <c r="I10" s="12">
        <v>465</v>
      </c>
      <c r="J10" s="13" t="s">
        <v>67</v>
      </c>
    </row>
    <row r="11" spans="1:12" ht="57.6" x14ac:dyDescent="0.3">
      <c r="B11" s="11" t="s">
        <v>26</v>
      </c>
      <c r="C11" s="11">
        <v>6.1</v>
      </c>
      <c r="D11" s="11">
        <v>4.9000000000000004</v>
      </c>
      <c r="E11" s="11">
        <v>1.1399999999999999</v>
      </c>
      <c r="F11" s="11">
        <v>0.55000000000000004</v>
      </c>
      <c r="G11" s="11">
        <f>(Table613[[#This Row],[Velocity (m/s)]]/1.289)^2</f>
        <v>14.450614828220651</v>
      </c>
      <c r="H11" s="11">
        <f>Table613[[#This Row],[hl (Pa/m)]]*Table613[[#This Row],[Length (m)]]</f>
        <v>3.355</v>
      </c>
      <c r="I11" s="12">
        <v>525</v>
      </c>
      <c r="J11" s="13" t="s">
        <v>63</v>
      </c>
    </row>
    <row r="12" spans="1:12" ht="57.6" x14ac:dyDescent="0.3">
      <c r="B12" s="11" t="s">
        <v>28</v>
      </c>
      <c r="C12" s="11">
        <v>5.5</v>
      </c>
      <c r="D12" s="11">
        <v>4</v>
      </c>
      <c r="E12" s="11">
        <v>0.56999999999999995</v>
      </c>
      <c r="F12" s="11">
        <v>0.45</v>
      </c>
      <c r="G12" s="11">
        <f>(Table613[[#This Row],[Velocity (m/s)]]/1.289)^2</f>
        <v>9.6297308309675298</v>
      </c>
      <c r="H12" s="11">
        <f>Table613[[#This Row],[hl (Pa/m)]]*Table613[[#This Row],[Length (m)]]</f>
        <v>2.4750000000000001</v>
      </c>
      <c r="I12" s="12">
        <v>420</v>
      </c>
      <c r="J12" s="13" t="s">
        <v>65</v>
      </c>
    </row>
    <row r="13" spans="1:12" ht="100.8" x14ac:dyDescent="0.3">
      <c r="B13" s="11" t="s">
        <v>29</v>
      </c>
      <c r="C13" s="11">
        <v>9.1</v>
      </c>
      <c r="D13" s="11">
        <v>4.9000000000000004</v>
      </c>
      <c r="E13" s="11">
        <v>0.56999999999999995</v>
      </c>
      <c r="F13" s="11">
        <v>0.78</v>
      </c>
      <c r="G13" s="11">
        <f>(Table613[[#This Row],[Velocity (m/s)]]/1.289)^2</f>
        <v>14.450614828220651</v>
      </c>
      <c r="H13" s="11">
        <f>Table613[[#This Row],[hl (Pa/m)]]*Table613[[#This Row],[Length (m)]]</f>
        <v>7.0979999999999999</v>
      </c>
      <c r="I13" s="12">
        <v>375</v>
      </c>
      <c r="J13" s="13" t="s">
        <v>66</v>
      </c>
    </row>
    <row r="14" spans="1:12" ht="57.6" x14ac:dyDescent="0.3">
      <c r="A14" s="1"/>
      <c r="B14" s="11" t="s">
        <v>30</v>
      </c>
      <c r="C14" s="11">
        <v>5.5</v>
      </c>
      <c r="D14" s="11">
        <v>4</v>
      </c>
      <c r="E14" s="11">
        <v>0.56999999999999995</v>
      </c>
      <c r="F14" s="11">
        <v>0.45</v>
      </c>
      <c r="G14" s="11">
        <f>(Table613[[#This Row],[Velocity (m/s)]]/1.289)^2</f>
        <v>9.6297308309675298</v>
      </c>
      <c r="H14" s="11">
        <f>Table613[[#This Row],[hl (Pa/m)]]*Table613[[#This Row],[Length (m)]]</f>
        <v>2.4750000000000001</v>
      </c>
      <c r="I14" s="12">
        <v>420</v>
      </c>
      <c r="J14" s="13" t="s">
        <v>65</v>
      </c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 t="s">
        <v>10</v>
      </c>
      <c r="C16" s="1" t="s">
        <v>1</v>
      </c>
      <c r="D16" s="1" t="s">
        <v>6</v>
      </c>
      <c r="E16" s="1" t="s">
        <v>3</v>
      </c>
      <c r="F16" s="1" t="s">
        <v>40</v>
      </c>
      <c r="G16" s="1"/>
      <c r="H16" s="1" t="s">
        <v>73</v>
      </c>
      <c r="I16" s="1" t="s">
        <v>40</v>
      </c>
      <c r="J16" s="1"/>
      <c r="K16" s="1"/>
      <c r="L16" s="1"/>
    </row>
    <row r="17" spans="1:14" x14ac:dyDescent="0.3">
      <c r="A17" s="1"/>
      <c r="B17" s="1" t="s">
        <v>7</v>
      </c>
      <c r="C17" s="1">
        <f>D6</f>
        <v>4.9000000000000004</v>
      </c>
      <c r="D17" s="1">
        <v>0.18</v>
      </c>
      <c r="E17" s="1">
        <f>(Table714[[#This Row],[Velocity]]/1.289)^2</f>
        <v>14.450614828220651</v>
      </c>
      <c r="F17" s="1">
        <f>Table714[[#This Row],[C]]*Table714[[#This Row],[Hv]]</f>
        <v>2.6011106690797172</v>
      </c>
      <c r="G17" s="1"/>
      <c r="H17" s="1" t="s">
        <v>14</v>
      </c>
      <c r="I17" s="1">
        <v>15</v>
      </c>
      <c r="J17" s="1"/>
      <c r="K17" s="1"/>
      <c r="L17" s="1"/>
    </row>
    <row r="18" spans="1:14" x14ac:dyDescent="0.3">
      <c r="A18" s="1"/>
      <c r="B18" s="1" t="s">
        <v>20</v>
      </c>
      <c r="C18" s="1">
        <f>D9</f>
        <v>4</v>
      </c>
      <c r="D18" s="1">
        <v>0.18</v>
      </c>
      <c r="E18" s="1">
        <f>(Table714[[#This Row],[Velocity]]/1.289)^2</f>
        <v>9.6297308309675298</v>
      </c>
      <c r="F18" s="1">
        <f>Table714[[#This Row],[C]]*Table714[[#This Row],[Hv]]</f>
        <v>1.7333515495741554</v>
      </c>
      <c r="G18" s="1"/>
      <c r="H18" s="1" t="s">
        <v>19</v>
      </c>
      <c r="I18" s="1">
        <v>15</v>
      </c>
      <c r="J18" s="1"/>
      <c r="K18" s="1"/>
      <c r="L18" s="1"/>
    </row>
    <row r="19" spans="1:14" x14ac:dyDescent="0.3">
      <c r="A19" s="1"/>
      <c r="B19" s="1" t="s">
        <v>27</v>
      </c>
      <c r="C19" s="1">
        <f>D11</f>
        <v>4.9000000000000004</v>
      </c>
      <c r="D19" s="1">
        <v>0.18</v>
      </c>
      <c r="E19" s="1">
        <f>(Table714[[#This Row],[Velocity]]/1.289)^2</f>
        <v>14.450614828220651</v>
      </c>
      <c r="F19" s="1">
        <f>Table714[[#This Row],[C]]*Table714[[#This Row],[Hv]]</f>
        <v>2.6011106690797172</v>
      </c>
      <c r="G19" s="1"/>
      <c r="H19" s="1" t="s">
        <v>24</v>
      </c>
      <c r="I19" s="1">
        <v>15</v>
      </c>
      <c r="J19" s="1"/>
      <c r="K19" s="1"/>
      <c r="L19" s="1"/>
    </row>
    <row r="20" spans="1:14" x14ac:dyDescent="0.3">
      <c r="A20" s="1"/>
      <c r="B20" s="1" t="s">
        <v>31</v>
      </c>
      <c r="C20" s="1">
        <f>D14</f>
        <v>4</v>
      </c>
      <c r="D20" s="1">
        <v>0.18</v>
      </c>
      <c r="E20" s="1">
        <f>(Table714[[#This Row],[Velocity]]/1.289)^2</f>
        <v>9.6297308309675298</v>
      </c>
      <c r="F20" s="1">
        <f>Table714[[#This Row],[C]]*Table714[[#This Row],[Hv]]</f>
        <v>1.7333515495741554</v>
      </c>
      <c r="G20" s="1"/>
      <c r="H20" s="1" t="s">
        <v>25</v>
      </c>
      <c r="I20" s="1">
        <v>15</v>
      </c>
      <c r="J20" s="1"/>
      <c r="K20" s="1"/>
      <c r="L20" s="1"/>
    </row>
    <row r="21" spans="1:14" x14ac:dyDescent="0.3">
      <c r="A21" s="1"/>
      <c r="B21" s="1" t="s">
        <v>74</v>
      </c>
      <c r="C21" s="1">
        <f>D7</f>
        <v>4</v>
      </c>
      <c r="D21" s="1">
        <v>0.18</v>
      </c>
      <c r="E21" s="2">
        <f>(Table714[[#This Row],[Velocity]]/1.289)^2</f>
        <v>9.6297308309675298</v>
      </c>
      <c r="F21" s="2">
        <f>Table714[[#This Row],[C]]*Table714[[#This Row],[Hv]]</f>
        <v>1.7333515495741554</v>
      </c>
      <c r="G21" s="1"/>
      <c r="H21" s="1"/>
      <c r="I21" s="1"/>
      <c r="J21" s="1"/>
      <c r="K21" s="1"/>
      <c r="L21" s="1"/>
    </row>
    <row r="22" spans="1:14" x14ac:dyDescent="0.3">
      <c r="A22" s="1"/>
      <c r="B22" s="1" t="s">
        <v>75</v>
      </c>
      <c r="C22" s="1">
        <f>D9</f>
        <v>4</v>
      </c>
      <c r="D22" s="1">
        <v>0.18</v>
      </c>
      <c r="E22" s="2">
        <f>(Table714[[#This Row],[Velocity]]/1.289)^2</f>
        <v>9.6297308309675298</v>
      </c>
      <c r="F22" s="2">
        <f>Table714[[#This Row],[C]]*Table714[[#This Row],[Hv]]</f>
        <v>1.7333515495741554</v>
      </c>
      <c r="G22" s="1"/>
      <c r="H22" s="1" t="s">
        <v>45</v>
      </c>
      <c r="I22" s="1" t="s">
        <v>46</v>
      </c>
      <c r="J22" s="1" t="s">
        <v>49</v>
      </c>
      <c r="K22" s="1" t="s">
        <v>32</v>
      </c>
      <c r="L22" s="1" t="s">
        <v>34</v>
      </c>
      <c r="M22" s="1" t="s">
        <v>50</v>
      </c>
      <c r="N22" s="1" t="s">
        <v>2</v>
      </c>
    </row>
    <row r="23" spans="1:14" x14ac:dyDescent="0.3">
      <c r="A23" s="1"/>
      <c r="B23" s="1" t="s">
        <v>76</v>
      </c>
      <c r="C23" s="1">
        <f>D12</f>
        <v>4</v>
      </c>
      <c r="D23" s="1">
        <v>0.18</v>
      </c>
      <c r="E23" s="2">
        <f>(Table714[[#This Row],[Velocity]]/1.289)^2</f>
        <v>9.6297308309675298</v>
      </c>
      <c r="F23" s="2">
        <f>Table714[[#This Row],[C]]*Table714[[#This Row],[Hv]]</f>
        <v>1.7333515495741554</v>
      </c>
      <c r="G23" s="1"/>
      <c r="H23" s="1" t="s">
        <v>48</v>
      </c>
      <c r="I23" s="1" t="s">
        <v>47</v>
      </c>
      <c r="J23" s="1">
        <v>0.04</v>
      </c>
      <c r="K23" s="1">
        <v>2.2799999999999998</v>
      </c>
      <c r="L23" s="1">
        <v>4.3</v>
      </c>
      <c r="M23" s="1">
        <v>17</v>
      </c>
      <c r="N23" s="1">
        <f>(((Table1017[[#This Row],[Velocity (m/s)]]^2)/(2*9.81))*Table1017[[#This Row],[K (Well Rounded)]])</f>
        <v>3.7696228338430171E-2</v>
      </c>
    </row>
    <row r="24" spans="1:14" x14ac:dyDescent="0.3">
      <c r="A24" s="1"/>
      <c r="B24" s="1" t="s">
        <v>77</v>
      </c>
      <c r="C24" s="1">
        <f>D14</f>
        <v>4</v>
      </c>
      <c r="D24" s="1">
        <v>0.18</v>
      </c>
      <c r="E24" s="2">
        <f>(Table714[[#This Row],[Velocity]]/1.289)^2</f>
        <v>9.6297308309675298</v>
      </c>
      <c r="F24" s="2">
        <f>Table714[[#This Row],[C]]*Table714[[#This Row],[Hv]]</f>
        <v>1.7333515495741554</v>
      </c>
      <c r="G24" s="1"/>
      <c r="H24" s="1"/>
      <c r="I24" s="1"/>
      <c r="J24" s="1"/>
      <c r="K24" s="1"/>
      <c r="L24" s="1"/>
    </row>
    <row r="25" spans="1:1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x14ac:dyDescent="0.3">
      <c r="A26" s="1"/>
      <c r="B26" s="1" t="s">
        <v>11</v>
      </c>
      <c r="C26" s="1" t="s">
        <v>1</v>
      </c>
      <c r="D26" s="1" t="s">
        <v>6</v>
      </c>
      <c r="E26" s="1" t="s">
        <v>3</v>
      </c>
      <c r="F26" s="1" t="s">
        <v>40</v>
      </c>
      <c r="G26" s="1"/>
      <c r="H26" s="1"/>
      <c r="I26" s="1"/>
      <c r="J26" s="1"/>
      <c r="K26" s="1"/>
      <c r="L26" s="1"/>
    </row>
    <row r="27" spans="1:14" x14ac:dyDescent="0.3">
      <c r="A27" s="1"/>
      <c r="B27" s="1" t="s">
        <v>42</v>
      </c>
      <c r="C27" s="1">
        <f>D5</f>
        <v>6.1</v>
      </c>
      <c r="D27" s="1">
        <v>1</v>
      </c>
      <c r="E27" s="1">
        <f>(Table815[[#This Row],[Velocity]]/1.289)^2</f>
        <v>22.39514276376886</v>
      </c>
      <c r="F27" s="1">
        <f>Table815[[#This Row],[Hv]]*Table815[[#This Row],[C]]</f>
        <v>22.39514276376886</v>
      </c>
      <c r="G27" s="1"/>
      <c r="H27" s="1"/>
      <c r="I27" s="1"/>
      <c r="J27" s="1"/>
      <c r="K27" s="1"/>
      <c r="L27" s="1"/>
    </row>
    <row r="28" spans="1:14" x14ac:dyDescent="0.3">
      <c r="A28" s="1"/>
      <c r="B28" s="1" t="s">
        <v>43</v>
      </c>
      <c r="C28" s="1">
        <f>D6</f>
        <v>4.9000000000000004</v>
      </c>
      <c r="D28" s="1">
        <v>1</v>
      </c>
      <c r="E28" s="1">
        <f>(Table815[[#This Row],[Velocity]]/1.289)^2</f>
        <v>14.450614828220651</v>
      </c>
      <c r="F28" s="1">
        <f>Table815[[#This Row],[Hv]]*Table815[[#This Row],[C]]</f>
        <v>14.450614828220651</v>
      </c>
      <c r="G28" s="1"/>
      <c r="H28" s="1"/>
      <c r="I28" s="1"/>
      <c r="J28" s="1"/>
      <c r="K28" s="1"/>
      <c r="L28" s="1"/>
    </row>
    <row r="29" spans="1:14" x14ac:dyDescent="0.3">
      <c r="B29" s="1" t="s">
        <v>41</v>
      </c>
      <c r="C29" s="1">
        <f>D5</f>
        <v>6.1</v>
      </c>
      <c r="D29" s="1">
        <v>0.1</v>
      </c>
      <c r="E29" s="1">
        <f>(Table815[[#This Row],[Velocity]]/1.289)^2</f>
        <v>22.39514276376886</v>
      </c>
      <c r="F29" s="1">
        <f>Table815[[#This Row],[Hv]]*Table815[[#This Row],[C]]</f>
        <v>2.239514276376886</v>
      </c>
    </row>
    <row r="30" spans="1:14" x14ac:dyDescent="0.3">
      <c r="B30" s="1" t="s">
        <v>44</v>
      </c>
      <c r="C30" s="1">
        <f>D11</f>
        <v>4.9000000000000004</v>
      </c>
      <c r="D30" s="1">
        <v>1</v>
      </c>
      <c r="E30" s="1">
        <f>(Table815[[#This Row],[Velocity]]/1.289)^2</f>
        <v>14.450614828220651</v>
      </c>
      <c r="F30" s="1">
        <f>Table815[[#This Row],[Hv]]*Table815[[#This Row],[C]]</f>
        <v>14.450614828220651</v>
      </c>
    </row>
    <row r="31" spans="1:14" x14ac:dyDescent="0.3">
      <c r="B31" s="1"/>
      <c r="C31" s="1"/>
      <c r="D31" s="1"/>
      <c r="E31" s="1"/>
      <c r="F31" s="1"/>
    </row>
    <row r="32" spans="1:14" x14ac:dyDescent="0.3">
      <c r="B32" s="1"/>
      <c r="C32" s="1"/>
      <c r="D32" s="1"/>
      <c r="E32" s="1"/>
      <c r="F32" s="1"/>
    </row>
    <row r="34" spans="2:6" x14ac:dyDescent="0.3">
      <c r="B34" s="16" t="s">
        <v>51</v>
      </c>
      <c r="C34" s="16"/>
      <c r="E34" s="16" t="s">
        <v>55</v>
      </c>
      <c r="F34" s="16"/>
    </row>
    <row r="35" spans="2:6" x14ac:dyDescent="0.3">
      <c r="B35" s="4" t="s">
        <v>0</v>
      </c>
      <c r="C35" s="4" t="s">
        <v>52</v>
      </c>
      <c r="E35" s="4" t="s">
        <v>0</v>
      </c>
      <c r="F35" s="4" t="s">
        <v>52</v>
      </c>
    </row>
    <row r="36" spans="2:6" x14ac:dyDescent="0.3">
      <c r="B36" s="3" t="s">
        <v>5</v>
      </c>
      <c r="C36" s="3">
        <f>H5</f>
        <v>6.2059999999999995</v>
      </c>
      <c r="E36" s="3" t="s">
        <v>5</v>
      </c>
      <c r="F36" s="3">
        <f>H5</f>
        <v>6.2059999999999995</v>
      </c>
    </row>
    <row r="37" spans="2:6" x14ac:dyDescent="0.3">
      <c r="B37" s="5" t="s">
        <v>7</v>
      </c>
      <c r="C37" s="3">
        <f>F17</f>
        <v>2.6011106690797172</v>
      </c>
      <c r="E37" s="5" t="s">
        <v>7</v>
      </c>
      <c r="F37" s="3">
        <f>F17</f>
        <v>2.6011106690797172</v>
      </c>
    </row>
    <row r="38" spans="2:6" x14ac:dyDescent="0.3">
      <c r="B38" s="5" t="s">
        <v>42</v>
      </c>
      <c r="C38" s="3">
        <f>F27</f>
        <v>22.39514276376886</v>
      </c>
      <c r="E38" s="5" t="s">
        <v>6</v>
      </c>
      <c r="F38" s="3">
        <f>H6</f>
        <v>3.355</v>
      </c>
    </row>
    <row r="39" spans="2:6" x14ac:dyDescent="0.3">
      <c r="B39" s="5" t="s">
        <v>6</v>
      </c>
      <c r="C39" s="3">
        <f>H6</f>
        <v>3.355</v>
      </c>
      <c r="E39" s="5" t="s">
        <v>42</v>
      </c>
      <c r="F39" s="3">
        <f>F27</f>
        <v>22.39514276376886</v>
      </c>
    </row>
    <row r="40" spans="2:6" x14ac:dyDescent="0.3">
      <c r="B40" s="6" t="s">
        <v>43</v>
      </c>
      <c r="C40" s="3">
        <f>F28</f>
        <v>14.450614828220651</v>
      </c>
      <c r="E40" s="5" t="s">
        <v>15</v>
      </c>
      <c r="F40" s="3">
        <f>H8</f>
        <v>7.0979999999999999</v>
      </c>
    </row>
    <row r="41" spans="2:6" x14ac:dyDescent="0.3">
      <c r="B41" s="5" t="s">
        <v>74</v>
      </c>
      <c r="C41" s="3">
        <f>F21</f>
        <v>1.7333515495741554</v>
      </c>
      <c r="E41" s="6" t="s">
        <v>75</v>
      </c>
      <c r="F41" s="3">
        <f>F22</f>
        <v>1.7333515495741554</v>
      </c>
    </row>
    <row r="42" spans="2:6" x14ac:dyDescent="0.3">
      <c r="B42" s="3" t="s">
        <v>12</v>
      </c>
      <c r="C42" s="3">
        <f>H7</f>
        <v>2.4750000000000001</v>
      </c>
      <c r="E42" s="6" t="s">
        <v>20</v>
      </c>
      <c r="F42" s="3">
        <f>F18</f>
        <v>1.7333515495741554</v>
      </c>
    </row>
    <row r="43" spans="2:6" x14ac:dyDescent="0.3">
      <c r="B43" s="3" t="s">
        <v>53</v>
      </c>
      <c r="C43" s="3">
        <f>I17</f>
        <v>15</v>
      </c>
      <c r="E43" s="6" t="s">
        <v>56</v>
      </c>
      <c r="F43" s="3">
        <f>I18</f>
        <v>15</v>
      </c>
    </row>
    <row r="44" spans="2:6" x14ac:dyDescent="0.3">
      <c r="B44" s="9" t="s">
        <v>54</v>
      </c>
      <c r="C44" s="8">
        <f>SUM(C36:C43)</f>
        <v>68.216219810643381</v>
      </c>
      <c r="E44" s="5" t="s">
        <v>17</v>
      </c>
      <c r="F44" s="3">
        <f>H9</f>
        <v>2.4750000000000001</v>
      </c>
    </row>
    <row r="45" spans="2:6" x14ac:dyDescent="0.3">
      <c r="E45" s="7" t="s">
        <v>54</v>
      </c>
      <c r="F45" s="8">
        <f>SUM(F36:F44)</f>
        <v>62.596956531996881</v>
      </c>
    </row>
    <row r="49" spans="2:6" x14ac:dyDescent="0.3">
      <c r="B49" s="16" t="s">
        <v>57</v>
      </c>
      <c r="C49" s="16"/>
      <c r="E49" s="16" t="s">
        <v>59</v>
      </c>
      <c r="F49" s="16"/>
    </row>
    <row r="50" spans="2:6" x14ac:dyDescent="0.3">
      <c r="B50" s="4" t="s">
        <v>0</v>
      </c>
      <c r="C50" s="4" t="s">
        <v>52</v>
      </c>
      <c r="E50" s="4" t="s">
        <v>0</v>
      </c>
      <c r="F50" s="4" t="s">
        <v>60</v>
      </c>
    </row>
    <row r="51" spans="2:6" x14ac:dyDescent="0.3">
      <c r="B51" s="3" t="s">
        <v>5</v>
      </c>
      <c r="C51" s="3">
        <f>H5</f>
        <v>6.2059999999999995</v>
      </c>
      <c r="E51" s="3" t="s">
        <v>5</v>
      </c>
      <c r="F51" s="3">
        <f>H5</f>
        <v>6.2059999999999995</v>
      </c>
    </row>
    <row r="52" spans="2:6" x14ac:dyDescent="0.3">
      <c r="B52" s="5" t="s">
        <v>41</v>
      </c>
      <c r="C52" s="3">
        <f>F29</f>
        <v>2.239514276376886</v>
      </c>
      <c r="E52" s="5" t="s">
        <v>41</v>
      </c>
      <c r="F52" s="3">
        <f>F29</f>
        <v>2.239514276376886</v>
      </c>
    </row>
    <row r="53" spans="2:6" x14ac:dyDescent="0.3">
      <c r="B53" s="3" t="s">
        <v>21</v>
      </c>
      <c r="C53" s="3">
        <f>H10</f>
        <v>11.346</v>
      </c>
      <c r="E53" s="3" t="s">
        <v>21</v>
      </c>
      <c r="F53" s="3">
        <f>H10</f>
        <v>11.346</v>
      </c>
    </row>
    <row r="54" spans="2:6" x14ac:dyDescent="0.3">
      <c r="B54" s="5" t="s">
        <v>27</v>
      </c>
      <c r="C54" s="3">
        <f>F19</f>
        <v>2.6011106690797172</v>
      </c>
      <c r="E54" s="5" t="s">
        <v>27</v>
      </c>
      <c r="F54" s="3">
        <f>F19</f>
        <v>2.6011106690797172</v>
      </c>
    </row>
    <row r="55" spans="2:6" x14ac:dyDescent="0.3">
      <c r="B55" s="3" t="s">
        <v>26</v>
      </c>
      <c r="C55" s="3">
        <f>H11</f>
        <v>3.355</v>
      </c>
      <c r="E55" s="3" t="s">
        <v>26</v>
      </c>
      <c r="F55" s="3">
        <f>H11</f>
        <v>3.355</v>
      </c>
    </row>
    <row r="56" spans="2:6" x14ac:dyDescent="0.3">
      <c r="B56" s="10" t="s">
        <v>44</v>
      </c>
      <c r="C56" s="3">
        <f>F30</f>
        <v>14.450614828220651</v>
      </c>
      <c r="E56" s="3" t="s">
        <v>29</v>
      </c>
      <c r="F56" s="3">
        <f>H13</f>
        <v>7.0979999999999999</v>
      </c>
    </row>
    <row r="57" spans="2:6" x14ac:dyDescent="0.3">
      <c r="B57" s="5" t="s">
        <v>76</v>
      </c>
      <c r="C57" s="3">
        <f>F23</f>
        <v>1.7333515495741554</v>
      </c>
      <c r="E57" s="10" t="s">
        <v>77</v>
      </c>
      <c r="F57" s="3">
        <f>F24</f>
        <v>1.7333515495741554</v>
      </c>
    </row>
    <row r="58" spans="2:6" x14ac:dyDescent="0.3">
      <c r="B58" s="3" t="s">
        <v>28</v>
      </c>
      <c r="C58" s="3">
        <f>H12</f>
        <v>2.4750000000000001</v>
      </c>
      <c r="E58" s="6" t="s">
        <v>31</v>
      </c>
      <c r="F58" s="3">
        <f>F20</f>
        <v>1.7333515495741554</v>
      </c>
    </row>
    <row r="59" spans="2:6" x14ac:dyDescent="0.3">
      <c r="B59" s="3" t="s">
        <v>58</v>
      </c>
      <c r="C59" s="3">
        <f>I19</f>
        <v>15</v>
      </c>
      <c r="E59" s="3" t="s">
        <v>30</v>
      </c>
      <c r="F59" s="3">
        <f>H14</f>
        <v>2.4750000000000001</v>
      </c>
    </row>
    <row r="60" spans="2:6" x14ac:dyDescent="0.3">
      <c r="B60" s="9" t="s">
        <v>54</v>
      </c>
      <c r="C60" s="9">
        <f>SUM(C51:C59)</f>
        <v>59.406591323251412</v>
      </c>
      <c r="E60" s="3" t="s">
        <v>61</v>
      </c>
      <c r="F60" s="3">
        <f>I20</f>
        <v>15</v>
      </c>
    </row>
    <row r="61" spans="2:6" x14ac:dyDescent="0.3">
      <c r="B61" s="1"/>
      <c r="C61" s="1"/>
      <c r="E61" s="9" t="s">
        <v>54</v>
      </c>
      <c r="F61" s="8">
        <f>SUM(F51:F60)</f>
        <v>53.787328044604912</v>
      </c>
    </row>
  </sheetData>
  <mergeCells count="4">
    <mergeCell ref="B34:C34"/>
    <mergeCell ref="E34:F34"/>
    <mergeCell ref="B49:C49"/>
    <mergeCell ref="E49:F49"/>
  </mergeCells>
  <pageMargins left="0.7" right="0.7" top="0.75" bottom="0.75" header="0.3" footer="0.3"/>
  <pageSetup orientation="portrait" r:id="rId1"/>
  <ignoredErrors>
    <ignoredError sqref="F39" formula="1"/>
  </ignoredErrors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B00C-414D-4542-8761-21755468095A}">
  <dimension ref="A3:N63"/>
  <sheetViews>
    <sheetView topLeftCell="A22" workbookViewId="0">
      <selection activeCell="E50" sqref="E50:F63"/>
    </sheetView>
  </sheetViews>
  <sheetFormatPr defaultRowHeight="14.4" x14ac:dyDescent="0.3"/>
  <cols>
    <col min="2" max="2" width="33.44140625" customWidth="1"/>
    <col min="3" max="3" width="15.33203125" customWidth="1"/>
    <col min="4" max="4" width="18.88671875" customWidth="1"/>
    <col min="5" max="5" width="34.77734375" customWidth="1"/>
    <col min="6" max="6" width="17" customWidth="1"/>
    <col min="7" max="7" width="14.21875" customWidth="1"/>
    <col min="8" max="8" width="22.44140625" customWidth="1"/>
    <col min="9" max="9" width="15.77734375" customWidth="1"/>
    <col min="10" max="10" width="17.21875" customWidth="1"/>
    <col min="11" max="11" width="14.44140625" customWidth="1"/>
    <col min="12" max="12" width="12.33203125" customWidth="1"/>
    <col min="13" max="13" width="22.33203125" customWidth="1"/>
  </cols>
  <sheetData>
    <row r="3" spans="1:12" x14ac:dyDescent="0.3">
      <c r="B3" s="1" t="s">
        <v>0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38</v>
      </c>
      <c r="H3" s="1" t="s">
        <v>37</v>
      </c>
      <c r="I3" s="1" t="s">
        <v>39</v>
      </c>
    </row>
    <row r="4" spans="1:12" x14ac:dyDescent="0.3">
      <c r="B4" s="1" t="s">
        <v>4</v>
      </c>
      <c r="C4" s="1">
        <v>15.2</v>
      </c>
      <c r="D4" s="1">
        <v>4.3</v>
      </c>
      <c r="E4" s="1">
        <v>2.2799999999999998</v>
      </c>
      <c r="F4" s="1">
        <v>0.23</v>
      </c>
      <c r="G4" s="1">
        <f>(Table619[[#This Row],[Velocity (m/s)]]/1.289)^2</f>
        <v>11.128357691536852</v>
      </c>
      <c r="H4" s="1">
        <f>Table619[[#This Row],[hl (Pa/m)]]*Table619[[#This Row],[Length (m)]]</f>
        <v>3.496</v>
      </c>
      <c r="I4" s="2">
        <v>795</v>
      </c>
    </row>
    <row r="5" spans="1:12" x14ac:dyDescent="0.3">
      <c r="B5" s="1" t="s">
        <v>5</v>
      </c>
      <c r="C5" s="1">
        <v>10.7</v>
      </c>
      <c r="D5" s="1">
        <v>6.1</v>
      </c>
      <c r="E5" s="1">
        <v>2.2799999999999998</v>
      </c>
      <c r="F5" s="1">
        <v>0.57999999999999996</v>
      </c>
      <c r="G5" s="1">
        <f>(Table619[[#This Row],[Velocity (m/s)]]/1.289)^2</f>
        <v>22.39514276376886</v>
      </c>
      <c r="H5" s="1">
        <f>Table619[[#This Row],[hl (Pa/m)]]*Table619[[#This Row],[Length (m)]]</f>
        <v>6.2059999999999995</v>
      </c>
      <c r="I5" s="2">
        <v>688</v>
      </c>
    </row>
    <row r="6" spans="1:12" x14ac:dyDescent="0.3">
      <c r="B6" s="1" t="s">
        <v>6</v>
      </c>
      <c r="C6" s="1">
        <v>6.1</v>
      </c>
      <c r="D6" s="1">
        <v>4.9000000000000004</v>
      </c>
      <c r="E6" s="1">
        <v>1.1399999999999999</v>
      </c>
      <c r="F6" s="1">
        <v>0.55000000000000004</v>
      </c>
      <c r="G6" s="1">
        <f>(Table619[[#This Row],[Velocity (m/s)]]/1.289)^2</f>
        <v>14.450614828220651</v>
      </c>
      <c r="H6" s="1">
        <f>Table619[[#This Row],[hl (Pa/m)]]*Table619[[#This Row],[Length (m)]]</f>
        <v>3.355</v>
      </c>
      <c r="I6" s="2">
        <v>525</v>
      </c>
    </row>
    <row r="7" spans="1:12" x14ac:dyDescent="0.3">
      <c r="B7" s="1" t="s">
        <v>12</v>
      </c>
      <c r="C7" s="1">
        <v>5.5</v>
      </c>
      <c r="D7" s="1">
        <v>4</v>
      </c>
      <c r="E7" s="1">
        <v>0.56999999999999995</v>
      </c>
      <c r="F7" s="1">
        <v>0.45</v>
      </c>
      <c r="G7" s="1">
        <f>(Table619[[#This Row],[Velocity (m/s)]]/1.289)^2</f>
        <v>9.6297308309675298</v>
      </c>
      <c r="H7" s="1">
        <f>Table619[[#This Row],[hl (Pa/m)]]*Table619[[#This Row],[Length (m)]]</f>
        <v>2.4750000000000001</v>
      </c>
      <c r="I7" s="2">
        <v>420</v>
      </c>
    </row>
    <row r="8" spans="1:12" x14ac:dyDescent="0.3">
      <c r="B8" s="1" t="s">
        <v>15</v>
      </c>
      <c r="C8" s="1">
        <v>9.1</v>
      </c>
      <c r="D8" s="1">
        <v>4.9000000000000004</v>
      </c>
      <c r="E8" s="1">
        <v>0.56999999999999995</v>
      </c>
      <c r="F8" s="1">
        <v>0.78</v>
      </c>
      <c r="G8" s="1">
        <f>(Table619[[#This Row],[Velocity (m/s)]]/1.289)^2</f>
        <v>14.450614828220651</v>
      </c>
      <c r="H8" s="1">
        <f>Table619[[#This Row],[hl (Pa/m)]]*Table619[[#This Row],[Length (m)]]</f>
        <v>7.0979999999999999</v>
      </c>
      <c r="I8" s="2">
        <v>375</v>
      </c>
    </row>
    <row r="9" spans="1:12" x14ac:dyDescent="0.3">
      <c r="B9" s="1" t="s">
        <v>17</v>
      </c>
      <c r="C9" s="1">
        <v>5.5</v>
      </c>
      <c r="D9" s="1">
        <v>4</v>
      </c>
      <c r="E9" s="1">
        <v>0.56999999999999995</v>
      </c>
      <c r="F9" s="1">
        <v>0.45</v>
      </c>
      <c r="G9" s="1">
        <f>(Table619[[#This Row],[Velocity (m/s)]]/1.289)^2</f>
        <v>9.6297308309675298</v>
      </c>
      <c r="H9" s="1">
        <f>Table619[[#This Row],[hl (Pa/m)]]*Table619[[#This Row],[Length (m)]]</f>
        <v>2.4750000000000001</v>
      </c>
      <c r="I9" s="2">
        <v>420</v>
      </c>
    </row>
    <row r="10" spans="1:12" x14ac:dyDescent="0.3">
      <c r="B10" s="1" t="s">
        <v>21</v>
      </c>
      <c r="C10" s="1">
        <v>12.2</v>
      </c>
      <c r="D10" s="1">
        <v>6.1</v>
      </c>
      <c r="E10" s="1">
        <v>1.1399999999999999</v>
      </c>
      <c r="F10" s="1">
        <v>0.93</v>
      </c>
      <c r="G10" s="1">
        <f>(Table619[[#This Row],[Velocity (m/s)]]/1.289)^2</f>
        <v>22.39514276376886</v>
      </c>
      <c r="H10" s="1">
        <f>Table619[[#This Row],[hl (Pa/m)]]*Table619[[#This Row],[Length (m)]]</f>
        <v>11.346</v>
      </c>
      <c r="I10" s="2">
        <v>465</v>
      </c>
    </row>
    <row r="11" spans="1:12" x14ac:dyDescent="0.3">
      <c r="B11" s="1" t="s">
        <v>26</v>
      </c>
      <c r="C11" s="1">
        <v>6.1</v>
      </c>
      <c r="D11" s="1">
        <v>4.9000000000000004</v>
      </c>
      <c r="E11" s="1">
        <v>1.1399999999999999</v>
      </c>
      <c r="F11" s="1">
        <v>0.55000000000000004</v>
      </c>
      <c r="G11" s="1">
        <f>(Table619[[#This Row],[Velocity (m/s)]]/1.289)^2</f>
        <v>14.450614828220651</v>
      </c>
      <c r="H11" s="1">
        <f>Table619[[#This Row],[hl (Pa/m)]]*Table619[[#This Row],[Length (m)]]</f>
        <v>3.355</v>
      </c>
      <c r="I11" s="2">
        <v>525</v>
      </c>
    </row>
    <row r="12" spans="1:12" x14ac:dyDescent="0.3">
      <c r="B12" s="1" t="s">
        <v>28</v>
      </c>
      <c r="C12" s="1">
        <v>5.5</v>
      </c>
      <c r="D12" s="1">
        <v>4</v>
      </c>
      <c r="E12" s="1">
        <v>0.56999999999999995</v>
      </c>
      <c r="F12" s="1">
        <v>0.45</v>
      </c>
      <c r="G12" s="1">
        <f>(Table619[[#This Row],[Velocity (m/s)]]/1.289)^2</f>
        <v>9.6297308309675298</v>
      </c>
      <c r="H12" s="1">
        <f>Table619[[#This Row],[hl (Pa/m)]]*Table619[[#This Row],[Length (m)]]</f>
        <v>2.4750000000000001</v>
      </c>
      <c r="I12" s="2">
        <v>420</v>
      </c>
    </row>
    <row r="13" spans="1:12" x14ac:dyDescent="0.3">
      <c r="B13" s="1" t="s">
        <v>29</v>
      </c>
      <c r="C13" s="1">
        <v>9.1</v>
      </c>
      <c r="D13" s="1">
        <v>4.9000000000000004</v>
      </c>
      <c r="E13" s="1">
        <v>0.56999999999999995</v>
      </c>
      <c r="F13" s="1">
        <v>0.78</v>
      </c>
      <c r="G13" s="1">
        <f>(Table619[[#This Row],[Velocity (m/s)]]/1.289)^2</f>
        <v>14.450614828220651</v>
      </c>
      <c r="H13" s="1">
        <f>Table619[[#This Row],[hl (Pa/m)]]*Table619[[#This Row],[Length (m)]]</f>
        <v>7.0979999999999999</v>
      </c>
      <c r="I13" s="2">
        <v>375</v>
      </c>
    </row>
    <row r="14" spans="1:12" x14ac:dyDescent="0.3">
      <c r="A14" s="1"/>
      <c r="B14" s="1" t="s">
        <v>30</v>
      </c>
      <c r="C14" s="1">
        <v>5.5</v>
      </c>
      <c r="D14" s="1">
        <v>4</v>
      </c>
      <c r="E14" s="1">
        <v>0.56999999999999995</v>
      </c>
      <c r="F14" s="1">
        <v>0.45</v>
      </c>
      <c r="G14" s="1">
        <f>(Table619[[#This Row],[Velocity (m/s)]]/1.289)^2</f>
        <v>9.6297308309675298</v>
      </c>
      <c r="H14" s="1">
        <f>Table619[[#This Row],[hl (Pa/m)]]*Table619[[#This Row],[Length (m)]]</f>
        <v>2.4750000000000001</v>
      </c>
      <c r="I14" s="2">
        <v>420</v>
      </c>
      <c r="J14" s="1"/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 t="s">
        <v>10</v>
      </c>
      <c r="C16" s="1" t="s">
        <v>1</v>
      </c>
      <c r="D16" s="1" t="s">
        <v>6</v>
      </c>
      <c r="E16" s="1" t="s">
        <v>3</v>
      </c>
      <c r="F16" s="1" t="s">
        <v>40</v>
      </c>
      <c r="G16" s="1"/>
      <c r="H16" s="1" t="s">
        <v>13</v>
      </c>
      <c r="I16" s="1" t="s">
        <v>40</v>
      </c>
      <c r="J16" s="1"/>
      <c r="K16" s="1"/>
      <c r="L16" s="1"/>
    </row>
    <row r="17" spans="1:14" x14ac:dyDescent="0.3">
      <c r="A17" s="1"/>
      <c r="B17" s="1" t="s">
        <v>7</v>
      </c>
      <c r="C17" s="1">
        <f>D6</f>
        <v>4.9000000000000004</v>
      </c>
      <c r="D17" s="1">
        <v>0.18</v>
      </c>
      <c r="E17" s="1">
        <f>(Table720[[#This Row],[Velocity]]/1.289)^2</f>
        <v>14.450614828220651</v>
      </c>
      <c r="F17" s="1">
        <f>Table720[[#This Row],[C]]*Table720[[#This Row],[Hv]]</f>
        <v>2.6011106690797172</v>
      </c>
      <c r="G17" s="1"/>
      <c r="H17" s="1" t="s">
        <v>14</v>
      </c>
      <c r="I17" s="1">
        <v>15</v>
      </c>
      <c r="J17" s="1"/>
      <c r="K17" s="1"/>
      <c r="L17" s="1"/>
    </row>
    <row r="18" spans="1:14" x14ac:dyDescent="0.3">
      <c r="A18" s="1"/>
      <c r="B18" s="1" t="s">
        <v>20</v>
      </c>
      <c r="C18" s="1">
        <f>D9</f>
        <v>4</v>
      </c>
      <c r="D18" s="1">
        <v>0.18</v>
      </c>
      <c r="E18" s="1">
        <f>(Table720[[#This Row],[Velocity]]/1.289)^2</f>
        <v>9.6297308309675298</v>
      </c>
      <c r="F18" s="1">
        <f>Table720[[#This Row],[C]]*Table720[[#This Row],[Hv]]</f>
        <v>1.7333515495741554</v>
      </c>
      <c r="G18" s="1"/>
      <c r="H18" s="1" t="s">
        <v>19</v>
      </c>
      <c r="I18" s="1">
        <v>15</v>
      </c>
      <c r="J18" s="1"/>
      <c r="K18" s="1"/>
      <c r="L18" s="1"/>
    </row>
    <row r="19" spans="1:14" x14ac:dyDescent="0.3">
      <c r="A19" s="1"/>
      <c r="B19" s="1" t="s">
        <v>27</v>
      </c>
      <c r="C19" s="1">
        <f>D11</f>
        <v>4.9000000000000004</v>
      </c>
      <c r="D19" s="1">
        <v>0.18</v>
      </c>
      <c r="E19" s="1">
        <f>(Table720[[#This Row],[Velocity]]/1.289)^2</f>
        <v>14.450614828220651</v>
      </c>
      <c r="F19" s="1">
        <f>Table720[[#This Row],[C]]*Table720[[#This Row],[Hv]]</f>
        <v>2.6011106690797172</v>
      </c>
      <c r="G19" s="1"/>
      <c r="H19" s="1" t="s">
        <v>24</v>
      </c>
      <c r="I19" s="1">
        <v>15</v>
      </c>
      <c r="J19" s="1"/>
      <c r="K19" s="1"/>
      <c r="L19" s="1"/>
    </row>
    <row r="20" spans="1:14" x14ac:dyDescent="0.3">
      <c r="A20" s="1"/>
      <c r="B20" s="1" t="s">
        <v>31</v>
      </c>
      <c r="C20" s="1">
        <f>D14</f>
        <v>4</v>
      </c>
      <c r="D20" s="1">
        <v>0.18</v>
      </c>
      <c r="E20" s="1">
        <f>(Table720[[#This Row],[Velocity]]/1.289)^2</f>
        <v>9.6297308309675298</v>
      </c>
      <c r="F20" s="1">
        <f>Table720[[#This Row],[C]]*Table720[[#This Row],[Hv]]</f>
        <v>1.7333515495741554</v>
      </c>
      <c r="G20" s="1"/>
      <c r="H20" s="1" t="s">
        <v>25</v>
      </c>
      <c r="I20" s="1">
        <v>15</v>
      </c>
      <c r="J20" s="1"/>
      <c r="K20" s="1"/>
      <c r="L20" s="1"/>
    </row>
    <row r="21" spans="1:14" x14ac:dyDescent="0.3">
      <c r="A21" s="1"/>
      <c r="B21" s="1" t="s">
        <v>74</v>
      </c>
      <c r="C21" s="1">
        <f>D7</f>
        <v>4</v>
      </c>
      <c r="D21" s="1">
        <v>0.18</v>
      </c>
      <c r="E21" s="2">
        <f>(Table720[[#This Row],[Velocity]]/1.289)^2</f>
        <v>9.6297308309675298</v>
      </c>
      <c r="F21" s="2">
        <f>Table720[[#This Row],[C]]*Table720[[#This Row],[Hv]]</f>
        <v>1.7333515495741554</v>
      </c>
      <c r="G21" s="1"/>
      <c r="H21" s="1"/>
      <c r="I21" s="1"/>
      <c r="J21" s="1"/>
      <c r="K21" s="1"/>
      <c r="L21" s="1"/>
    </row>
    <row r="22" spans="1:14" x14ac:dyDescent="0.3">
      <c r="A22" s="1"/>
      <c r="B22" s="1" t="s">
        <v>75</v>
      </c>
      <c r="C22" s="1">
        <f>D9</f>
        <v>4</v>
      </c>
      <c r="D22" s="1">
        <v>0.18</v>
      </c>
      <c r="E22" s="2">
        <f>(Table720[[#This Row],[Velocity]]/1.289)^2</f>
        <v>9.6297308309675298</v>
      </c>
      <c r="F22" s="2">
        <f>Table720[[#This Row],[C]]*Table720[[#This Row],[Hv]]</f>
        <v>1.7333515495741554</v>
      </c>
      <c r="G22" s="1"/>
      <c r="H22" s="1" t="s">
        <v>45</v>
      </c>
      <c r="I22" s="1" t="s">
        <v>46</v>
      </c>
      <c r="J22" s="1" t="s">
        <v>49</v>
      </c>
      <c r="K22" s="1" t="s">
        <v>32</v>
      </c>
      <c r="L22" s="1" t="s">
        <v>34</v>
      </c>
      <c r="M22" s="1" t="s">
        <v>50</v>
      </c>
      <c r="N22" s="1" t="s">
        <v>2</v>
      </c>
    </row>
    <row r="23" spans="1:14" x14ac:dyDescent="0.3">
      <c r="A23" s="1"/>
      <c r="B23" s="1" t="s">
        <v>76</v>
      </c>
      <c r="C23" s="1">
        <f>D12</f>
        <v>4</v>
      </c>
      <c r="D23" s="1">
        <v>0.18</v>
      </c>
      <c r="E23" s="2">
        <f>(Table720[[#This Row],[Velocity]]/1.289)^2</f>
        <v>9.6297308309675298</v>
      </c>
      <c r="F23" s="2">
        <f>Table720[[#This Row],[C]]*Table720[[#This Row],[Hv]]</f>
        <v>1.7333515495741554</v>
      </c>
      <c r="G23" s="1"/>
      <c r="H23" s="1" t="s">
        <v>48</v>
      </c>
      <c r="I23" s="1" t="s">
        <v>47</v>
      </c>
      <c r="J23" s="1">
        <v>0.04</v>
      </c>
      <c r="K23" s="1">
        <v>2.2799999999999998</v>
      </c>
      <c r="L23" s="1">
        <v>4.3</v>
      </c>
      <c r="M23" s="1">
        <v>17</v>
      </c>
      <c r="N23" s="1">
        <f>(((Table1023[[#This Row],[Velocity (m/s)]]^2)/(2*9.81))*Table1023[[#This Row],[K (Well Rounded)]])</f>
        <v>3.7696228338430171E-2</v>
      </c>
    </row>
    <row r="24" spans="1:14" x14ac:dyDescent="0.3">
      <c r="A24" s="1"/>
      <c r="B24" s="1" t="s">
        <v>77</v>
      </c>
      <c r="C24" s="1">
        <f>D14</f>
        <v>4</v>
      </c>
      <c r="D24" s="1">
        <v>0.18</v>
      </c>
      <c r="E24" s="2">
        <f>(Table720[[#This Row],[Velocity]]/1.289)^2</f>
        <v>9.6297308309675298</v>
      </c>
      <c r="F24" s="2">
        <f>Table720[[#This Row],[C]]*Table720[[#This Row],[Hv]]</f>
        <v>1.7333515495741554</v>
      </c>
      <c r="G24" s="1"/>
      <c r="H24" s="1"/>
      <c r="I24" s="1"/>
      <c r="J24" s="1"/>
      <c r="K24" s="1"/>
      <c r="L24" s="1"/>
    </row>
    <row r="25" spans="1:1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x14ac:dyDescent="0.3">
      <c r="A26" s="1"/>
      <c r="B26" s="1" t="s">
        <v>11</v>
      </c>
      <c r="C26" s="1" t="s">
        <v>1</v>
      </c>
      <c r="D26" s="1" t="s">
        <v>6</v>
      </c>
      <c r="E26" s="1" t="s">
        <v>3</v>
      </c>
      <c r="F26" s="1" t="s">
        <v>40</v>
      </c>
      <c r="G26" s="1"/>
      <c r="H26" s="1" t="s">
        <v>8</v>
      </c>
      <c r="I26" s="1" t="s">
        <v>1</v>
      </c>
      <c r="J26" s="1" t="s">
        <v>6</v>
      </c>
      <c r="K26" s="1" t="s">
        <v>3</v>
      </c>
      <c r="L26" s="1" t="s">
        <v>40</v>
      </c>
    </row>
    <row r="27" spans="1:14" x14ac:dyDescent="0.3">
      <c r="A27" s="1"/>
      <c r="B27" s="1" t="s">
        <v>42</v>
      </c>
      <c r="C27" s="1">
        <f>D5</f>
        <v>6.1</v>
      </c>
      <c r="D27" s="1">
        <v>1</v>
      </c>
      <c r="E27" s="1">
        <f>(Table821[[#This Row],[Velocity]]/1.289)^2</f>
        <v>22.39514276376886</v>
      </c>
      <c r="F27" s="1">
        <f>Table821[[#This Row],[Hv]]*Table821[[#This Row],[C]]</f>
        <v>22.39514276376886</v>
      </c>
      <c r="G27" s="1"/>
      <c r="H27" t="s">
        <v>9</v>
      </c>
      <c r="I27">
        <f>D4</f>
        <v>4.3</v>
      </c>
      <c r="J27">
        <v>0.2</v>
      </c>
      <c r="K27" s="1">
        <f>(Table1724[[#This Row],[Velocity]]/1.289)^2</f>
        <v>11.128357691536852</v>
      </c>
      <c r="L27" s="1">
        <f>Table1724[[#This Row],[Hv]]*Table1724[[#This Row],[C]]</f>
        <v>2.2256715383073704</v>
      </c>
    </row>
    <row r="28" spans="1:14" x14ac:dyDescent="0.3">
      <c r="A28" s="1"/>
      <c r="B28" s="1" t="s">
        <v>43</v>
      </c>
      <c r="C28" s="1">
        <f>D6</f>
        <v>4.9000000000000004</v>
      </c>
      <c r="D28" s="1">
        <v>1</v>
      </c>
      <c r="E28" s="1">
        <f>(Table821[[#This Row],[Velocity]]/1.289)^2</f>
        <v>14.450614828220651</v>
      </c>
      <c r="F28" s="1">
        <f>Table821[[#This Row],[Hv]]*Table821[[#This Row],[C]]</f>
        <v>14.450614828220651</v>
      </c>
      <c r="G28" s="1"/>
      <c r="H28" t="s">
        <v>16</v>
      </c>
      <c r="I28">
        <f>D7</f>
        <v>4</v>
      </c>
      <c r="J28">
        <v>0.2</v>
      </c>
      <c r="K28" s="1">
        <f>(Table1724[[#This Row],[Velocity]]/1.289)^2</f>
        <v>9.6297308309675298</v>
      </c>
      <c r="L28" s="1">
        <f>Table1724[[#This Row],[Hv]]*Table1724[[#This Row],[C]]</f>
        <v>1.925946166193506</v>
      </c>
    </row>
    <row r="29" spans="1:14" x14ac:dyDescent="0.3">
      <c r="B29" s="1" t="s">
        <v>41</v>
      </c>
      <c r="C29" s="1">
        <f>D5</f>
        <v>6.1</v>
      </c>
      <c r="D29" s="1">
        <v>0.1</v>
      </c>
      <c r="E29" s="1">
        <f>(Table821[[#This Row],[Velocity]]/1.289)^2</f>
        <v>22.39514276376886</v>
      </c>
      <c r="F29" s="1">
        <f>Table821[[#This Row],[Hv]]*Table821[[#This Row],[C]]</f>
        <v>2.239514276376886</v>
      </c>
      <c r="H29" t="s">
        <v>18</v>
      </c>
      <c r="I29">
        <f>D9</f>
        <v>4</v>
      </c>
      <c r="J29">
        <v>0.2</v>
      </c>
      <c r="K29" s="1">
        <f>(Table1724[[#This Row],[Velocity]]/1.289)^2</f>
        <v>9.6297308309675298</v>
      </c>
      <c r="L29" s="1">
        <f>Table1724[[#This Row],[Hv]]*Table1724[[#This Row],[C]]</f>
        <v>1.925946166193506</v>
      </c>
    </row>
    <row r="30" spans="1:14" x14ac:dyDescent="0.3">
      <c r="B30" s="1" t="s">
        <v>44</v>
      </c>
      <c r="C30" s="1">
        <f>D11</f>
        <v>4.9000000000000004</v>
      </c>
      <c r="D30" s="1">
        <v>1</v>
      </c>
      <c r="E30" s="1">
        <f>(Table821[[#This Row],[Velocity]]/1.289)^2</f>
        <v>14.450614828220651</v>
      </c>
      <c r="F30" s="1">
        <f>Table821[[#This Row],[Hv]]*Table821[[#This Row],[C]]</f>
        <v>14.450614828220651</v>
      </c>
      <c r="H30" t="s">
        <v>22</v>
      </c>
      <c r="I30">
        <f>D12</f>
        <v>4</v>
      </c>
      <c r="J30">
        <v>0.2</v>
      </c>
      <c r="K30" s="1">
        <f>(Table1724[[#This Row],[Velocity]]/1.289)^2</f>
        <v>9.6297308309675298</v>
      </c>
      <c r="L30" s="1">
        <f>Table1724[[#This Row],[Hv]]*Table1724[[#This Row],[C]]</f>
        <v>1.925946166193506</v>
      </c>
    </row>
    <row r="31" spans="1:14" x14ac:dyDescent="0.3">
      <c r="B31" s="1"/>
      <c r="C31" s="1"/>
      <c r="D31" s="1"/>
      <c r="E31" s="1"/>
      <c r="F31" s="1"/>
      <c r="H31" t="s">
        <v>23</v>
      </c>
      <c r="I31">
        <f>D14</f>
        <v>4</v>
      </c>
      <c r="J31">
        <v>0.2</v>
      </c>
      <c r="K31" s="1">
        <f>(Table1724[[#This Row],[Velocity]]/1.289)^2</f>
        <v>9.6297308309675298</v>
      </c>
      <c r="L31" s="1">
        <f>Table1724[[#This Row],[Hv]]*Table1724[[#This Row],[C]]</f>
        <v>1.925946166193506</v>
      </c>
    </row>
    <row r="32" spans="1:14" x14ac:dyDescent="0.3">
      <c r="B32" s="1"/>
      <c r="C32" s="1"/>
      <c r="D32" s="1"/>
      <c r="E32" s="1"/>
      <c r="F32" s="1"/>
    </row>
    <row r="34" spans="2:6" x14ac:dyDescent="0.3">
      <c r="B34" s="16" t="s">
        <v>51</v>
      </c>
      <c r="C34" s="16"/>
      <c r="E34" s="16" t="s">
        <v>55</v>
      </c>
      <c r="F34" s="16"/>
    </row>
    <row r="35" spans="2:6" x14ac:dyDescent="0.3">
      <c r="B35" s="4" t="s">
        <v>0</v>
      </c>
      <c r="C35" s="4" t="s">
        <v>52</v>
      </c>
      <c r="E35" s="4" t="s">
        <v>0</v>
      </c>
      <c r="F35" s="4" t="s">
        <v>52</v>
      </c>
    </row>
    <row r="36" spans="2:6" x14ac:dyDescent="0.3">
      <c r="B36" s="3" t="s">
        <v>5</v>
      </c>
      <c r="C36" s="3">
        <f>H5</f>
        <v>6.2059999999999995</v>
      </c>
      <c r="E36" s="3" t="s">
        <v>5</v>
      </c>
      <c r="F36" s="3">
        <f>H5</f>
        <v>6.2059999999999995</v>
      </c>
    </row>
    <row r="37" spans="2:6" x14ac:dyDescent="0.3">
      <c r="B37" s="5" t="s">
        <v>7</v>
      </c>
      <c r="C37" s="3">
        <f>F17</f>
        <v>2.6011106690797172</v>
      </c>
      <c r="E37" s="5" t="s">
        <v>7</v>
      </c>
      <c r="F37" s="3">
        <f>F17</f>
        <v>2.6011106690797172</v>
      </c>
    </row>
    <row r="38" spans="2:6" x14ac:dyDescent="0.3">
      <c r="B38" s="5" t="s">
        <v>42</v>
      </c>
      <c r="C38" s="3">
        <f>F27</f>
        <v>22.39514276376886</v>
      </c>
      <c r="E38" s="5" t="s">
        <v>6</v>
      </c>
      <c r="F38" s="3">
        <f>H6</f>
        <v>3.355</v>
      </c>
    </row>
    <row r="39" spans="2:6" x14ac:dyDescent="0.3">
      <c r="B39" s="5" t="s">
        <v>6</v>
      </c>
      <c r="C39" s="3">
        <f>H6</f>
        <v>3.355</v>
      </c>
      <c r="E39" s="5" t="s">
        <v>42</v>
      </c>
      <c r="F39" s="3">
        <f>F27</f>
        <v>22.39514276376886</v>
      </c>
    </row>
    <row r="40" spans="2:6" x14ac:dyDescent="0.3">
      <c r="B40" s="6" t="s">
        <v>43</v>
      </c>
      <c r="C40" s="3">
        <f>F28</f>
        <v>14.450614828220651</v>
      </c>
      <c r="E40" s="5" t="s">
        <v>15</v>
      </c>
      <c r="F40" s="3">
        <f>H8</f>
        <v>7.0979999999999999</v>
      </c>
    </row>
    <row r="41" spans="2:6" x14ac:dyDescent="0.3">
      <c r="B41" s="3" t="s">
        <v>12</v>
      </c>
      <c r="C41" s="3">
        <f>H7</f>
        <v>2.4750000000000001</v>
      </c>
      <c r="E41" s="6" t="s">
        <v>20</v>
      </c>
      <c r="F41" s="3">
        <f>F18</f>
        <v>1.7333515495741554</v>
      </c>
    </row>
    <row r="42" spans="2:6" x14ac:dyDescent="0.3">
      <c r="B42" s="6" t="s">
        <v>16</v>
      </c>
      <c r="C42" s="3">
        <f>L28</f>
        <v>1.925946166193506</v>
      </c>
      <c r="E42" s="5" t="s">
        <v>18</v>
      </c>
      <c r="F42" s="3">
        <f>L29</f>
        <v>1.925946166193506</v>
      </c>
    </row>
    <row r="43" spans="2:6" x14ac:dyDescent="0.3">
      <c r="B43" s="5" t="s">
        <v>74</v>
      </c>
      <c r="C43" s="3">
        <f>F21</f>
        <v>1.7333515495741554</v>
      </c>
      <c r="E43" s="10" t="s">
        <v>75</v>
      </c>
      <c r="F43" s="3">
        <f>F22</f>
        <v>1.7333515495741554</v>
      </c>
    </row>
    <row r="44" spans="2:6" x14ac:dyDescent="0.3">
      <c r="B44" s="3" t="s">
        <v>53</v>
      </c>
      <c r="C44" s="3">
        <f>I17</f>
        <v>15</v>
      </c>
      <c r="E44" s="6" t="s">
        <v>56</v>
      </c>
      <c r="F44" s="3">
        <f>I18</f>
        <v>15</v>
      </c>
    </row>
    <row r="45" spans="2:6" x14ac:dyDescent="0.3">
      <c r="B45" s="9" t="s">
        <v>54</v>
      </c>
      <c r="C45" s="8">
        <f>SUM(C36:C44)</f>
        <v>70.142165976836878</v>
      </c>
      <c r="E45" s="5" t="s">
        <v>17</v>
      </c>
      <c r="F45" s="3">
        <f>H9</f>
        <v>2.4750000000000001</v>
      </c>
    </row>
    <row r="46" spans="2:6" x14ac:dyDescent="0.3">
      <c r="E46" s="7" t="s">
        <v>54</v>
      </c>
      <c r="F46" s="8">
        <f>SUM(F36:F45)</f>
        <v>64.522902698190379</v>
      </c>
    </row>
    <row r="50" spans="2:6" x14ac:dyDescent="0.3">
      <c r="B50" s="16" t="s">
        <v>57</v>
      </c>
      <c r="C50" s="16"/>
      <c r="E50" s="16" t="s">
        <v>59</v>
      </c>
      <c r="F50" s="16"/>
    </row>
    <row r="51" spans="2:6" x14ac:dyDescent="0.3">
      <c r="B51" s="4" t="s">
        <v>0</v>
      </c>
      <c r="C51" s="4" t="s">
        <v>52</v>
      </c>
      <c r="E51" s="4" t="s">
        <v>0</v>
      </c>
      <c r="F51" s="4" t="s">
        <v>60</v>
      </c>
    </row>
    <row r="52" spans="2:6" x14ac:dyDescent="0.3">
      <c r="B52" s="3" t="s">
        <v>5</v>
      </c>
      <c r="C52" s="3">
        <f>H5</f>
        <v>6.2059999999999995</v>
      </c>
      <c r="E52" s="3" t="s">
        <v>5</v>
      </c>
      <c r="F52" s="3">
        <f>H5</f>
        <v>6.2059999999999995</v>
      </c>
    </row>
    <row r="53" spans="2:6" x14ac:dyDescent="0.3">
      <c r="B53" s="5" t="s">
        <v>41</v>
      </c>
      <c r="C53" s="3">
        <f>F29</f>
        <v>2.239514276376886</v>
      </c>
      <c r="E53" s="5" t="s">
        <v>41</v>
      </c>
      <c r="F53" s="3">
        <f>F29</f>
        <v>2.239514276376886</v>
      </c>
    </row>
    <row r="54" spans="2:6" x14ac:dyDescent="0.3">
      <c r="B54" s="3" t="s">
        <v>21</v>
      </c>
      <c r="C54" s="3">
        <f>H10</f>
        <v>11.346</v>
      </c>
      <c r="E54" s="3" t="s">
        <v>21</v>
      </c>
      <c r="F54" s="3">
        <f>H10</f>
        <v>11.346</v>
      </c>
    </row>
    <row r="55" spans="2:6" x14ac:dyDescent="0.3">
      <c r="B55" s="5" t="s">
        <v>27</v>
      </c>
      <c r="C55" s="3">
        <f>F19</f>
        <v>2.6011106690797172</v>
      </c>
      <c r="E55" s="5" t="s">
        <v>27</v>
      </c>
      <c r="F55" s="3">
        <f>F19</f>
        <v>2.6011106690797172</v>
      </c>
    </row>
    <row r="56" spans="2:6" x14ac:dyDescent="0.3">
      <c r="B56" s="3" t="s">
        <v>26</v>
      </c>
      <c r="C56" s="3">
        <f>H11</f>
        <v>3.355</v>
      </c>
      <c r="E56" s="3" t="s">
        <v>26</v>
      </c>
      <c r="F56" s="3">
        <f>H11</f>
        <v>3.355</v>
      </c>
    </row>
    <row r="57" spans="2:6" x14ac:dyDescent="0.3">
      <c r="B57" s="10" t="s">
        <v>44</v>
      </c>
      <c r="C57" s="3">
        <f>F30</f>
        <v>14.450614828220651</v>
      </c>
      <c r="E57" s="3" t="s">
        <v>29</v>
      </c>
      <c r="F57" s="3">
        <f>H13</f>
        <v>7.0979999999999999</v>
      </c>
    </row>
    <row r="58" spans="2:6" x14ac:dyDescent="0.3">
      <c r="B58" s="6" t="s">
        <v>22</v>
      </c>
      <c r="C58" s="3">
        <f>L30</f>
        <v>1.925946166193506</v>
      </c>
      <c r="E58" s="5" t="s">
        <v>23</v>
      </c>
      <c r="F58" s="3">
        <f>L31</f>
        <v>1.925946166193506</v>
      </c>
    </row>
    <row r="59" spans="2:6" x14ac:dyDescent="0.3">
      <c r="B59" s="5" t="s">
        <v>76</v>
      </c>
      <c r="C59" s="3">
        <f>F23</f>
        <v>1.7333515495741554</v>
      </c>
      <c r="E59" s="10" t="s">
        <v>77</v>
      </c>
      <c r="F59" s="3">
        <f>F24</f>
        <v>1.7333515495741554</v>
      </c>
    </row>
    <row r="60" spans="2:6" x14ac:dyDescent="0.3">
      <c r="B60" s="3" t="s">
        <v>28</v>
      </c>
      <c r="C60" s="3">
        <f>H12</f>
        <v>2.4750000000000001</v>
      </c>
      <c r="E60" s="6" t="s">
        <v>31</v>
      </c>
      <c r="F60" s="3">
        <f>F20</f>
        <v>1.7333515495741554</v>
      </c>
    </row>
    <row r="61" spans="2:6" x14ac:dyDescent="0.3">
      <c r="B61" s="3" t="s">
        <v>58</v>
      </c>
      <c r="C61" s="3">
        <f>I19</f>
        <v>15</v>
      </c>
      <c r="E61" s="3" t="s">
        <v>30</v>
      </c>
      <c r="F61" s="3">
        <f>H14</f>
        <v>2.4750000000000001</v>
      </c>
    </row>
    <row r="62" spans="2:6" x14ac:dyDescent="0.3">
      <c r="B62" s="9" t="s">
        <v>54</v>
      </c>
      <c r="C62" s="9">
        <f>SUM(C52:C61)</f>
        <v>61.332537489444917</v>
      </c>
      <c r="E62" s="3" t="s">
        <v>61</v>
      </c>
      <c r="F62" s="3">
        <f>I20</f>
        <v>15</v>
      </c>
    </row>
    <row r="63" spans="2:6" x14ac:dyDescent="0.3">
      <c r="B63" s="1"/>
      <c r="C63" s="1"/>
      <c r="E63" s="9" t="s">
        <v>54</v>
      </c>
      <c r="F63" s="8">
        <f>SUM(F52:F62)</f>
        <v>55.713274210798417</v>
      </c>
    </row>
  </sheetData>
  <mergeCells count="4">
    <mergeCell ref="B34:C34"/>
    <mergeCell ref="E34:F34"/>
    <mergeCell ref="B50:C50"/>
    <mergeCell ref="E50:F50"/>
  </mergeCell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AB20E-3184-46D4-A787-0B050641DAF3}">
  <dimension ref="A3:N63"/>
  <sheetViews>
    <sheetView tabSelected="1" workbookViewId="0">
      <selection activeCell="J5" sqref="J5"/>
    </sheetView>
  </sheetViews>
  <sheetFormatPr defaultRowHeight="14.4" x14ac:dyDescent="0.3"/>
  <cols>
    <col min="2" max="2" width="33.44140625" customWidth="1"/>
    <col min="3" max="3" width="15.33203125" customWidth="1"/>
    <col min="4" max="4" width="18.88671875" customWidth="1"/>
    <col min="5" max="5" width="34.77734375" customWidth="1"/>
    <col min="6" max="6" width="17" customWidth="1"/>
    <col min="7" max="7" width="14.21875" customWidth="1"/>
    <col min="8" max="8" width="22.44140625" customWidth="1"/>
    <col min="9" max="9" width="15.77734375" customWidth="1"/>
    <col min="10" max="10" width="25.88671875" customWidth="1"/>
    <col min="11" max="11" width="14.44140625" customWidth="1"/>
    <col min="12" max="12" width="12.33203125" customWidth="1"/>
    <col min="13" max="13" width="22.33203125" customWidth="1"/>
  </cols>
  <sheetData>
    <row r="3" spans="1:12" x14ac:dyDescent="0.3">
      <c r="B3" s="1" t="s">
        <v>0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38</v>
      </c>
      <c r="H3" s="1" t="s">
        <v>37</v>
      </c>
      <c r="I3" s="1" t="s">
        <v>39</v>
      </c>
      <c r="J3" s="1" t="s">
        <v>69</v>
      </c>
    </row>
    <row r="4" spans="1:12" ht="43.2" x14ac:dyDescent="0.3">
      <c r="B4" s="11" t="s">
        <v>4</v>
      </c>
      <c r="C4" s="11">
        <v>15.2</v>
      </c>
      <c r="D4" s="11">
        <v>4.3</v>
      </c>
      <c r="E4" s="11">
        <v>2.2799999999999998</v>
      </c>
      <c r="F4" s="11">
        <v>0.23</v>
      </c>
      <c r="G4" s="11">
        <f>(Table62[[#This Row],[Velocity (m/s)]]/1.289)^2</f>
        <v>11.128357691536852</v>
      </c>
      <c r="H4" s="11">
        <f>Table62[[#This Row],[hl (Pa/m)]]*Table62[[#This Row],[Length (m)]]</f>
        <v>3.496</v>
      </c>
      <c r="I4" s="12">
        <v>800</v>
      </c>
      <c r="J4" s="15" t="s">
        <v>78</v>
      </c>
    </row>
    <row r="5" spans="1:12" ht="72" x14ac:dyDescent="0.3">
      <c r="B5" s="11" t="s">
        <v>5</v>
      </c>
      <c r="C5" s="11">
        <v>10.7</v>
      </c>
      <c r="D5" s="11">
        <v>8</v>
      </c>
      <c r="E5" s="11">
        <v>2.2799999999999998</v>
      </c>
      <c r="F5" s="11">
        <v>1.25</v>
      </c>
      <c r="G5" s="11">
        <f>(Table62[[#This Row],[Velocity (m/s)]]/1.289)^2</f>
        <v>38.518923323870119</v>
      </c>
      <c r="H5" s="11">
        <f>Table62[[#This Row],[hl (Pa/m)]]*Table62[[#This Row],[Length (m)]]</f>
        <v>13.375</v>
      </c>
      <c r="I5" s="12">
        <v>600</v>
      </c>
      <c r="J5" s="15" t="s">
        <v>79</v>
      </c>
    </row>
    <row r="6" spans="1:12" ht="57.6" x14ac:dyDescent="0.3">
      <c r="B6" s="11" t="s">
        <v>6</v>
      </c>
      <c r="C6" s="11">
        <v>6.1</v>
      </c>
      <c r="D6" s="11">
        <v>4</v>
      </c>
      <c r="E6" s="11">
        <v>1.1399999999999999</v>
      </c>
      <c r="F6" s="11">
        <v>0.28999999999999998</v>
      </c>
      <c r="G6" s="11">
        <f>(Table62[[#This Row],[Velocity (m/s)]]/1.289)^2</f>
        <v>9.6297308309675298</v>
      </c>
      <c r="H6" s="11">
        <f>Table62[[#This Row],[hl (Pa/m)]]*Table62[[#This Row],[Length (m)]]</f>
        <v>1.7689999999999997</v>
      </c>
      <c r="I6" s="12">
        <v>580</v>
      </c>
      <c r="J6" s="15" t="s">
        <v>80</v>
      </c>
    </row>
    <row r="7" spans="1:12" ht="86.4" x14ac:dyDescent="0.3">
      <c r="B7" s="11" t="s">
        <v>12</v>
      </c>
      <c r="C7" s="11">
        <v>5.5</v>
      </c>
      <c r="D7" s="11">
        <v>3.3</v>
      </c>
      <c r="E7" s="11">
        <v>0.56999999999999995</v>
      </c>
      <c r="F7" s="11">
        <v>0.28000000000000003</v>
      </c>
      <c r="G7" s="11">
        <f>(Table62[[#This Row],[Velocity (m/s)]]/1.289)^2</f>
        <v>6.5542355468272744</v>
      </c>
      <c r="H7" s="11">
        <f>Table62[[#This Row],[hl (Pa/m)]]*Table62[[#This Row],[Length (m)]]</f>
        <v>1.54</v>
      </c>
      <c r="I7" s="12">
        <v>475</v>
      </c>
      <c r="J7" s="15" t="s">
        <v>81</v>
      </c>
    </row>
    <row r="8" spans="1:12" ht="57.6" x14ac:dyDescent="0.3">
      <c r="B8" s="11" t="s">
        <v>15</v>
      </c>
      <c r="C8" s="11">
        <v>9.1</v>
      </c>
      <c r="D8" s="11">
        <v>3.9</v>
      </c>
      <c r="E8" s="11">
        <v>0.56999999999999995</v>
      </c>
      <c r="F8" s="11">
        <v>0.41</v>
      </c>
      <c r="G8" s="11">
        <f>(Table62[[#This Row],[Velocity (m/s)]]/1.289)^2</f>
        <v>9.154262871188509</v>
      </c>
      <c r="H8" s="11">
        <f>Table62[[#This Row],[hl (Pa/m)]]*Table62[[#This Row],[Length (m)]]</f>
        <v>3.7309999999999994</v>
      </c>
      <c r="I8" s="12">
        <v>430</v>
      </c>
      <c r="J8" s="15" t="s">
        <v>83</v>
      </c>
    </row>
    <row r="9" spans="1:12" ht="57.6" x14ac:dyDescent="0.3">
      <c r="B9" s="11" t="s">
        <v>17</v>
      </c>
      <c r="C9" s="11">
        <v>5.5</v>
      </c>
      <c r="D9" s="11">
        <v>3.9</v>
      </c>
      <c r="E9" s="11">
        <v>0.56999999999999995</v>
      </c>
      <c r="F9" s="11">
        <v>0.41</v>
      </c>
      <c r="G9" s="11">
        <f>(Table62[[#This Row],[Velocity (m/s)]]/1.289)^2</f>
        <v>9.154262871188509</v>
      </c>
      <c r="H9" s="11">
        <f>Table62[[#This Row],[hl (Pa/m)]]*Table62[[#This Row],[Length (m)]]</f>
        <v>2.2549999999999999</v>
      </c>
      <c r="I9" s="12">
        <v>430</v>
      </c>
      <c r="J9" s="15" t="s">
        <v>83</v>
      </c>
    </row>
    <row r="10" spans="1:12" ht="57.6" x14ac:dyDescent="0.3">
      <c r="B10" s="11" t="s">
        <v>21</v>
      </c>
      <c r="C10" s="11">
        <v>12.2</v>
      </c>
      <c r="D10" s="11">
        <v>6.1</v>
      </c>
      <c r="E10" s="11">
        <v>1.1399999999999999</v>
      </c>
      <c r="F10" s="11">
        <v>0.89</v>
      </c>
      <c r="G10" s="11">
        <f>(Table62[[#This Row],[Velocity (m/s)]]/1.289)^2</f>
        <v>22.39514276376886</v>
      </c>
      <c r="H10" s="11">
        <f>Table62[[#This Row],[hl (Pa/m)]]*Table62[[#This Row],[Length (m)]]</f>
        <v>10.857999999999999</v>
      </c>
      <c r="I10" s="12">
        <v>580</v>
      </c>
      <c r="J10" s="15" t="s">
        <v>80</v>
      </c>
    </row>
    <row r="11" spans="1:12" ht="57.6" x14ac:dyDescent="0.3">
      <c r="B11" s="11" t="s">
        <v>26</v>
      </c>
      <c r="C11" s="11">
        <v>6.1</v>
      </c>
      <c r="D11" s="11">
        <v>6.1</v>
      </c>
      <c r="E11" s="11">
        <v>1.1399999999999999</v>
      </c>
      <c r="F11" s="11">
        <v>0.89</v>
      </c>
      <c r="G11" s="11">
        <f>(Table62[[#This Row],[Velocity (m/s)]]/1.289)^2</f>
        <v>22.39514276376886</v>
      </c>
      <c r="H11" s="11">
        <f>Table62[[#This Row],[hl (Pa/m)]]*Table62[[#This Row],[Length (m)]]</f>
        <v>5.4289999999999994</v>
      </c>
      <c r="I11" s="12">
        <v>580</v>
      </c>
      <c r="J11" s="15" t="s">
        <v>80</v>
      </c>
    </row>
    <row r="12" spans="1:12" ht="100.8" x14ac:dyDescent="0.3">
      <c r="B12" s="11" t="s">
        <v>28</v>
      </c>
      <c r="C12" s="11">
        <v>5.5</v>
      </c>
      <c r="D12" s="11">
        <v>5</v>
      </c>
      <c r="E12" s="11">
        <v>0.56999999999999995</v>
      </c>
      <c r="F12" s="11">
        <v>0.75</v>
      </c>
      <c r="G12" s="11">
        <f>(Table62[[#This Row],[Velocity (m/s)]]/1.289)^2</f>
        <v>15.046454423386765</v>
      </c>
      <c r="H12" s="11">
        <f>Table62[[#This Row],[hl (Pa/m)]]*Table62[[#This Row],[Length (m)]]</f>
        <v>4.125</v>
      </c>
      <c r="I12" s="12">
        <v>375</v>
      </c>
      <c r="J12" s="15" t="s">
        <v>84</v>
      </c>
    </row>
    <row r="13" spans="1:12" ht="72" x14ac:dyDescent="0.3">
      <c r="B13" s="11" t="s">
        <v>29</v>
      </c>
      <c r="C13" s="11">
        <v>9.1</v>
      </c>
      <c r="D13" s="11">
        <v>5.4</v>
      </c>
      <c r="E13" s="11">
        <v>0.56999999999999995</v>
      </c>
      <c r="F13" s="11">
        <v>1.1000000000000001</v>
      </c>
      <c r="G13" s="11">
        <f>(Table62[[#This Row],[Velocity (m/s)]]/1.289)^2</f>
        <v>17.550184439438326</v>
      </c>
      <c r="H13" s="11">
        <f>Table62[[#This Row],[hl (Pa/m)]]*Table62[[#This Row],[Length (m)]]</f>
        <v>10.01</v>
      </c>
      <c r="I13" s="12">
        <v>360</v>
      </c>
      <c r="J13" s="15" t="s">
        <v>82</v>
      </c>
    </row>
    <row r="14" spans="1:12" ht="72" x14ac:dyDescent="0.3">
      <c r="A14" s="1"/>
      <c r="B14" s="11" t="s">
        <v>30</v>
      </c>
      <c r="C14" s="11">
        <v>5.5</v>
      </c>
      <c r="D14" s="11">
        <v>5.4</v>
      </c>
      <c r="E14" s="11">
        <v>0.56999999999999995</v>
      </c>
      <c r="F14" s="11">
        <v>1.1000000000000001</v>
      </c>
      <c r="G14" s="11">
        <f>(Table62[[#This Row],[Velocity (m/s)]]/1.289)^2</f>
        <v>17.550184439438326</v>
      </c>
      <c r="H14" s="11">
        <f>Table62[[#This Row],[hl (Pa/m)]]*Table62[[#This Row],[Length (m)]]</f>
        <v>6.0500000000000007</v>
      </c>
      <c r="I14" s="12">
        <v>360</v>
      </c>
      <c r="J14" s="15" t="s">
        <v>82</v>
      </c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 t="s">
        <v>10</v>
      </c>
      <c r="C16" s="1" t="s">
        <v>1</v>
      </c>
      <c r="D16" s="1" t="s">
        <v>6</v>
      </c>
      <c r="E16" s="1" t="s">
        <v>3</v>
      </c>
      <c r="F16" s="1" t="s">
        <v>40</v>
      </c>
      <c r="G16" s="1"/>
      <c r="H16" s="1" t="s">
        <v>13</v>
      </c>
      <c r="I16" s="1" t="s">
        <v>40</v>
      </c>
      <c r="J16" s="1"/>
      <c r="K16" s="1"/>
      <c r="L16" s="1"/>
    </row>
    <row r="17" spans="1:14" x14ac:dyDescent="0.3">
      <c r="A17" s="1"/>
      <c r="B17" s="1" t="s">
        <v>7</v>
      </c>
      <c r="C17" s="1">
        <f>D6</f>
        <v>4</v>
      </c>
      <c r="D17" s="1">
        <v>0.18</v>
      </c>
      <c r="E17" s="1">
        <f>(Table73[[#This Row],[Velocity]]/1.289)^2</f>
        <v>9.6297308309675298</v>
      </c>
      <c r="F17" s="1">
        <f>Table73[[#This Row],[C]]*Table73[[#This Row],[Hv]]</f>
        <v>1.7333515495741554</v>
      </c>
      <c r="G17" s="1"/>
      <c r="H17" s="1" t="s">
        <v>14</v>
      </c>
      <c r="I17" s="1">
        <v>15</v>
      </c>
      <c r="J17" s="1"/>
      <c r="K17" s="1"/>
      <c r="L17" s="1"/>
    </row>
    <row r="18" spans="1:14" x14ac:dyDescent="0.3">
      <c r="A18" s="1"/>
      <c r="B18" s="1" t="s">
        <v>20</v>
      </c>
      <c r="C18" s="1">
        <f>D9</f>
        <v>3.9</v>
      </c>
      <c r="D18" s="1">
        <v>0.18</v>
      </c>
      <c r="E18" s="1">
        <f>(Table73[[#This Row],[Velocity]]/1.289)^2</f>
        <v>9.154262871188509</v>
      </c>
      <c r="F18" s="1">
        <f>Table73[[#This Row],[C]]*Table73[[#This Row],[Hv]]</f>
        <v>1.6477673168139315</v>
      </c>
      <c r="G18" s="1"/>
      <c r="H18" s="1" t="s">
        <v>19</v>
      </c>
      <c r="I18" s="1">
        <v>15</v>
      </c>
      <c r="J18" s="1"/>
      <c r="K18" s="1"/>
      <c r="L18" s="1"/>
    </row>
    <row r="19" spans="1:14" x14ac:dyDescent="0.3">
      <c r="A19" s="1"/>
      <c r="B19" s="1" t="s">
        <v>27</v>
      </c>
      <c r="C19" s="1">
        <f>D11</f>
        <v>6.1</v>
      </c>
      <c r="D19" s="1">
        <v>0.18</v>
      </c>
      <c r="E19" s="1">
        <f>(Table73[[#This Row],[Velocity]]/1.289)^2</f>
        <v>22.39514276376886</v>
      </c>
      <c r="F19" s="1">
        <f>Table73[[#This Row],[C]]*Table73[[#This Row],[Hv]]</f>
        <v>4.0311256974783944</v>
      </c>
      <c r="G19" s="1"/>
      <c r="H19" s="1" t="s">
        <v>24</v>
      </c>
      <c r="I19" s="1">
        <v>15</v>
      </c>
      <c r="J19" s="1"/>
      <c r="K19" s="1"/>
      <c r="L19" s="1"/>
    </row>
    <row r="20" spans="1:14" x14ac:dyDescent="0.3">
      <c r="A20" s="1"/>
      <c r="B20" s="1" t="s">
        <v>31</v>
      </c>
      <c r="C20" s="1">
        <f>D14</f>
        <v>5.4</v>
      </c>
      <c r="D20" s="1">
        <v>0.18</v>
      </c>
      <c r="E20" s="1">
        <f>(Table73[[#This Row],[Velocity]]/1.289)^2</f>
        <v>17.550184439438326</v>
      </c>
      <c r="F20" s="1">
        <f>Table73[[#This Row],[C]]*Table73[[#This Row],[Hv]]</f>
        <v>3.1590331990988987</v>
      </c>
      <c r="G20" s="1"/>
      <c r="H20" s="1" t="s">
        <v>25</v>
      </c>
      <c r="I20" s="1">
        <v>15</v>
      </c>
      <c r="J20" s="1"/>
      <c r="K20" s="1"/>
      <c r="L20" s="1"/>
    </row>
    <row r="21" spans="1:14" x14ac:dyDescent="0.3">
      <c r="A21" s="1"/>
      <c r="B21" s="1" t="s">
        <v>74</v>
      </c>
      <c r="C21" s="1">
        <f>D7</f>
        <v>3.3</v>
      </c>
      <c r="D21" s="1">
        <v>0.18</v>
      </c>
      <c r="E21" s="2">
        <f>(Table73[[#This Row],[Velocity]]/1.289)^2</f>
        <v>6.5542355468272744</v>
      </c>
      <c r="F21" s="2">
        <f>Table73[[#This Row],[C]]*Table73[[#This Row],[Hv]]</f>
        <v>1.1797623984289094</v>
      </c>
      <c r="G21" s="1"/>
      <c r="H21" s="1"/>
      <c r="I21" s="1"/>
      <c r="J21" s="1"/>
      <c r="K21" s="1"/>
      <c r="L21" s="1"/>
    </row>
    <row r="22" spans="1:14" x14ac:dyDescent="0.3">
      <c r="A22" s="1"/>
      <c r="B22" s="1" t="s">
        <v>75</v>
      </c>
      <c r="C22" s="1">
        <f>D9</f>
        <v>3.9</v>
      </c>
      <c r="D22" s="1">
        <v>0.18</v>
      </c>
      <c r="E22" s="2">
        <f>(Table73[[#This Row],[Velocity]]/1.289)^2</f>
        <v>9.154262871188509</v>
      </c>
      <c r="F22" s="2">
        <f>Table73[[#This Row],[C]]*Table73[[#This Row],[Hv]]</f>
        <v>1.6477673168139315</v>
      </c>
      <c r="G22" s="1"/>
      <c r="H22" s="1" t="s">
        <v>45</v>
      </c>
      <c r="I22" s="1" t="s">
        <v>46</v>
      </c>
      <c r="J22" s="1" t="s">
        <v>49</v>
      </c>
      <c r="K22" s="1" t="s">
        <v>32</v>
      </c>
      <c r="L22" s="1" t="s">
        <v>34</v>
      </c>
      <c r="M22" s="1" t="s">
        <v>50</v>
      </c>
      <c r="N22" s="1" t="s">
        <v>2</v>
      </c>
    </row>
    <row r="23" spans="1:14" x14ac:dyDescent="0.3">
      <c r="A23" s="1"/>
      <c r="B23" s="1" t="s">
        <v>76</v>
      </c>
      <c r="C23" s="1">
        <f>D12</f>
        <v>5</v>
      </c>
      <c r="D23" s="1">
        <v>0.18</v>
      </c>
      <c r="E23" s="2">
        <f>(Table73[[#This Row],[Velocity]]/1.289)^2</f>
        <v>15.046454423386765</v>
      </c>
      <c r="F23" s="2">
        <f>Table73[[#This Row],[C]]*Table73[[#This Row],[Hv]]</f>
        <v>2.7083617962096174</v>
      </c>
      <c r="G23" s="1"/>
      <c r="H23" s="1" t="s">
        <v>48</v>
      </c>
      <c r="I23" s="1" t="s">
        <v>47</v>
      </c>
      <c r="J23" s="1">
        <v>0.04</v>
      </c>
      <c r="K23" s="1">
        <v>2.2799999999999998</v>
      </c>
      <c r="L23" s="1">
        <v>4.3</v>
      </c>
      <c r="M23" s="1">
        <v>17</v>
      </c>
      <c r="N23" s="1">
        <f>(((Table106[[#This Row],[Velocity (m/s)]]^2)/(2*9.81))*Table106[[#This Row],[K (Well Rounded)]])</f>
        <v>3.7696228338430171E-2</v>
      </c>
    </row>
    <row r="24" spans="1:14" x14ac:dyDescent="0.3">
      <c r="A24" s="1"/>
      <c r="B24" s="1" t="s">
        <v>77</v>
      </c>
      <c r="C24" s="1">
        <f>D14</f>
        <v>5.4</v>
      </c>
      <c r="D24" s="1">
        <v>0.18</v>
      </c>
      <c r="E24" s="2">
        <f>(Table73[[#This Row],[Velocity]]/1.289)^2</f>
        <v>17.550184439438326</v>
      </c>
      <c r="F24" s="2">
        <f>Table73[[#This Row],[C]]*Table73[[#This Row],[Hv]]</f>
        <v>3.1590331990988987</v>
      </c>
      <c r="G24" s="1"/>
      <c r="H24" s="1"/>
      <c r="I24" s="1"/>
      <c r="J24" s="1"/>
      <c r="K24" s="1"/>
      <c r="L24" s="1"/>
    </row>
    <row r="25" spans="1:1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x14ac:dyDescent="0.3">
      <c r="A26" s="1"/>
      <c r="B26" s="1" t="s">
        <v>11</v>
      </c>
      <c r="C26" s="1" t="s">
        <v>1</v>
      </c>
      <c r="D26" s="1" t="s">
        <v>6</v>
      </c>
      <c r="E26" s="1" t="s">
        <v>3</v>
      </c>
      <c r="F26" s="1" t="s">
        <v>40</v>
      </c>
      <c r="G26" s="1"/>
      <c r="H26" s="1" t="s">
        <v>8</v>
      </c>
      <c r="I26" s="1" t="s">
        <v>1</v>
      </c>
      <c r="J26" s="1" t="s">
        <v>6</v>
      </c>
      <c r="K26" s="1" t="s">
        <v>3</v>
      </c>
      <c r="L26" s="1" t="s">
        <v>40</v>
      </c>
    </row>
    <row r="27" spans="1:14" x14ac:dyDescent="0.3">
      <c r="A27" s="1"/>
      <c r="B27" s="1" t="s">
        <v>42</v>
      </c>
      <c r="C27" s="1">
        <f>D5</f>
        <v>8</v>
      </c>
      <c r="D27" s="1">
        <v>1</v>
      </c>
      <c r="E27" s="1">
        <f>(Table84[[#This Row],[Velocity]]/1.289)^2</f>
        <v>38.518923323870119</v>
      </c>
      <c r="F27" s="1">
        <f>Table84[[#This Row],[Hv]]*Table84[[#This Row],[C]]</f>
        <v>38.518923323870119</v>
      </c>
      <c r="G27" s="1"/>
      <c r="H27" t="s">
        <v>9</v>
      </c>
      <c r="I27">
        <f>D4</f>
        <v>4.3</v>
      </c>
      <c r="J27">
        <v>0.2</v>
      </c>
      <c r="K27" s="1">
        <f>(Table1712[[#This Row],[Velocity]]/1.289)^2</f>
        <v>11.128357691536852</v>
      </c>
      <c r="L27" s="1">
        <f>Table1712[[#This Row],[Hv]]*Table1712[[#This Row],[C]]</f>
        <v>2.2256715383073704</v>
      </c>
    </row>
    <row r="28" spans="1:14" x14ac:dyDescent="0.3">
      <c r="A28" s="1"/>
      <c r="B28" s="1" t="s">
        <v>43</v>
      </c>
      <c r="C28" s="1">
        <f>D6</f>
        <v>4</v>
      </c>
      <c r="D28" s="1">
        <v>1</v>
      </c>
      <c r="E28" s="1">
        <f>(Table84[[#This Row],[Velocity]]/1.289)^2</f>
        <v>9.6297308309675298</v>
      </c>
      <c r="F28" s="1">
        <f>Table84[[#This Row],[Hv]]*Table84[[#This Row],[C]]</f>
        <v>9.6297308309675298</v>
      </c>
      <c r="G28" s="1"/>
      <c r="H28" t="s">
        <v>16</v>
      </c>
      <c r="I28">
        <f>D7</f>
        <v>3.3</v>
      </c>
      <c r="J28">
        <v>0.2</v>
      </c>
      <c r="K28" s="1">
        <f>(Table1712[[#This Row],[Velocity]]/1.289)^2</f>
        <v>6.5542355468272744</v>
      </c>
      <c r="L28" s="1">
        <f>Table1712[[#This Row],[Hv]]*Table1712[[#This Row],[C]]</f>
        <v>1.310847109365455</v>
      </c>
    </row>
    <row r="29" spans="1:14" x14ac:dyDescent="0.3">
      <c r="B29" s="1" t="s">
        <v>41</v>
      </c>
      <c r="C29" s="1">
        <f>D5</f>
        <v>8</v>
      </c>
      <c r="D29" s="1">
        <v>0.1</v>
      </c>
      <c r="E29" s="1">
        <f>(Table84[[#This Row],[Velocity]]/1.289)^2</f>
        <v>38.518923323870119</v>
      </c>
      <c r="F29" s="1">
        <f>Table84[[#This Row],[Hv]]*Table84[[#This Row],[C]]</f>
        <v>3.851892332387012</v>
      </c>
      <c r="H29" t="s">
        <v>18</v>
      </c>
      <c r="I29">
        <f>D9</f>
        <v>3.9</v>
      </c>
      <c r="J29">
        <v>0.52</v>
      </c>
      <c r="K29" s="1">
        <f>(Table1712[[#This Row],[Velocity]]/1.289)^2</f>
        <v>9.154262871188509</v>
      </c>
      <c r="L29" s="1">
        <f>Table1712[[#This Row],[Hv]]*Table1712[[#This Row],[C]]</f>
        <v>4.760216693018025</v>
      </c>
    </row>
    <row r="30" spans="1:14" x14ac:dyDescent="0.3">
      <c r="B30" s="1" t="s">
        <v>44</v>
      </c>
      <c r="C30" s="1">
        <f>D11</f>
        <v>6.1</v>
      </c>
      <c r="D30" s="1">
        <v>1</v>
      </c>
      <c r="E30" s="1">
        <f>(Table84[[#This Row],[Velocity]]/1.289)^2</f>
        <v>22.39514276376886</v>
      </c>
      <c r="F30" s="1">
        <f>Table84[[#This Row],[Hv]]*Table84[[#This Row],[C]]</f>
        <v>22.39514276376886</v>
      </c>
      <c r="H30" t="s">
        <v>22</v>
      </c>
      <c r="I30">
        <f>D12</f>
        <v>5</v>
      </c>
      <c r="J30">
        <v>0.2</v>
      </c>
      <c r="K30" s="1">
        <f>(Table1712[[#This Row],[Velocity]]/1.289)^2</f>
        <v>15.046454423386765</v>
      </c>
      <c r="L30" s="1">
        <f>Table1712[[#This Row],[Hv]]*Table1712[[#This Row],[C]]</f>
        <v>3.0092908846773532</v>
      </c>
    </row>
    <row r="31" spans="1:14" x14ac:dyDescent="0.3">
      <c r="B31" s="1"/>
      <c r="C31" s="1"/>
      <c r="D31" s="1"/>
      <c r="E31" s="1"/>
      <c r="F31" s="1"/>
      <c r="H31" t="s">
        <v>23</v>
      </c>
      <c r="I31">
        <f>D14</f>
        <v>5.4</v>
      </c>
      <c r="J31">
        <v>0.52</v>
      </c>
      <c r="K31" s="1">
        <f>(Table1712[[#This Row],[Velocity]]/1.289)^2</f>
        <v>17.550184439438326</v>
      </c>
      <c r="L31" s="1">
        <f>Table1712[[#This Row],[Hv]]*Table1712[[#This Row],[C]]</f>
        <v>9.1260959085079296</v>
      </c>
    </row>
    <row r="32" spans="1:14" x14ac:dyDescent="0.3">
      <c r="B32" s="1"/>
      <c r="C32" s="1"/>
      <c r="D32" s="1"/>
      <c r="E32" s="1"/>
      <c r="F32" s="1"/>
    </row>
    <row r="34" spans="2:6" x14ac:dyDescent="0.3">
      <c r="B34" s="16" t="s">
        <v>51</v>
      </c>
      <c r="C34" s="16"/>
      <c r="E34" s="16" t="s">
        <v>55</v>
      </c>
      <c r="F34" s="16"/>
    </row>
    <row r="35" spans="2:6" x14ac:dyDescent="0.3">
      <c r="B35" s="4" t="s">
        <v>0</v>
      </c>
      <c r="C35" s="4" t="s">
        <v>52</v>
      </c>
      <c r="E35" s="4" t="s">
        <v>0</v>
      </c>
      <c r="F35" s="4" t="s">
        <v>52</v>
      </c>
    </row>
    <row r="36" spans="2:6" x14ac:dyDescent="0.3">
      <c r="B36" s="3" t="s">
        <v>5</v>
      </c>
      <c r="C36" s="3">
        <f>H5</f>
        <v>13.375</v>
      </c>
      <c r="E36" s="3" t="s">
        <v>5</v>
      </c>
      <c r="F36" s="3">
        <f>H5</f>
        <v>13.375</v>
      </c>
    </row>
    <row r="37" spans="2:6" x14ac:dyDescent="0.3">
      <c r="B37" s="5" t="s">
        <v>7</v>
      </c>
      <c r="C37" s="3">
        <f>F17</f>
        <v>1.7333515495741554</v>
      </c>
      <c r="E37" s="5" t="s">
        <v>7</v>
      </c>
      <c r="F37" s="3">
        <f>F17</f>
        <v>1.7333515495741554</v>
      </c>
    </row>
    <row r="38" spans="2:6" x14ac:dyDescent="0.3">
      <c r="B38" s="5" t="s">
        <v>42</v>
      </c>
      <c r="C38" s="3">
        <f>F27</f>
        <v>38.518923323870119</v>
      </c>
      <c r="E38" s="5" t="s">
        <v>6</v>
      </c>
      <c r="F38" s="3">
        <f>H6</f>
        <v>1.7689999999999997</v>
      </c>
    </row>
    <row r="39" spans="2:6" x14ac:dyDescent="0.3">
      <c r="B39" s="5" t="s">
        <v>6</v>
      </c>
      <c r="C39" s="3">
        <f>H6</f>
        <v>1.7689999999999997</v>
      </c>
      <c r="E39" s="5" t="s">
        <v>42</v>
      </c>
      <c r="F39" s="3">
        <f>F27</f>
        <v>38.518923323870119</v>
      </c>
    </row>
    <row r="40" spans="2:6" x14ac:dyDescent="0.3">
      <c r="B40" s="6" t="s">
        <v>43</v>
      </c>
      <c r="C40" s="3">
        <f>F28</f>
        <v>9.6297308309675298</v>
      </c>
      <c r="E40" s="5" t="s">
        <v>15</v>
      </c>
      <c r="F40" s="3">
        <f>H8</f>
        <v>3.7309999999999994</v>
      </c>
    </row>
    <row r="41" spans="2:6" x14ac:dyDescent="0.3">
      <c r="B41" s="3" t="s">
        <v>12</v>
      </c>
      <c r="C41" s="3">
        <f>H7</f>
        <v>1.54</v>
      </c>
      <c r="E41" s="6" t="s">
        <v>20</v>
      </c>
      <c r="F41" s="3">
        <f>F18</f>
        <v>1.6477673168139315</v>
      </c>
    </row>
    <row r="42" spans="2:6" x14ac:dyDescent="0.3">
      <c r="B42" s="5" t="s">
        <v>74</v>
      </c>
      <c r="C42" s="3">
        <f>F21</f>
        <v>1.1797623984289094</v>
      </c>
      <c r="E42" s="10" t="s">
        <v>75</v>
      </c>
      <c r="F42" s="3">
        <f>F22</f>
        <v>1.6477673168139315</v>
      </c>
    </row>
    <row r="43" spans="2:6" x14ac:dyDescent="0.3">
      <c r="B43" s="6" t="s">
        <v>16</v>
      </c>
      <c r="C43" s="3">
        <f>L28</f>
        <v>1.310847109365455</v>
      </c>
      <c r="E43" s="5" t="s">
        <v>18</v>
      </c>
      <c r="F43" s="3">
        <f>L29</f>
        <v>4.760216693018025</v>
      </c>
    </row>
    <row r="44" spans="2:6" x14ac:dyDescent="0.3">
      <c r="B44" s="3" t="s">
        <v>53</v>
      </c>
      <c r="C44" s="3">
        <f>I17</f>
        <v>15</v>
      </c>
      <c r="E44" s="6" t="s">
        <v>56</v>
      </c>
      <c r="F44" s="3">
        <f>I18</f>
        <v>15</v>
      </c>
    </row>
    <row r="45" spans="2:6" x14ac:dyDescent="0.3">
      <c r="B45" s="9" t="s">
        <v>54</v>
      </c>
      <c r="C45" s="8">
        <f>SUM(C36:C44)</f>
        <v>84.056615212206168</v>
      </c>
      <c r="E45" s="5" t="s">
        <v>17</v>
      </c>
      <c r="F45" s="3">
        <f>H9</f>
        <v>2.2549999999999999</v>
      </c>
    </row>
    <row r="46" spans="2:6" x14ac:dyDescent="0.3">
      <c r="E46" s="7" t="s">
        <v>54</v>
      </c>
      <c r="F46" s="8">
        <f>SUM(F36:F45)</f>
        <v>84.438026200090164</v>
      </c>
    </row>
    <row r="50" spans="2:6" x14ac:dyDescent="0.3">
      <c r="B50" s="16" t="s">
        <v>57</v>
      </c>
      <c r="C50" s="16"/>
      <c r="E50" s="16" t="s">
        <v>59</v>
      </c>
      <c r="F50" s="16"/>
    </row>
    <row r="51" spans="2:6" x14ac:dyDescent="0.3">
      <c r="B51" s="4" t="s">
        <v>0</v>
      </c>
      <c r="C51" s="4" t="s">
        <v>52</v>
      </c>
      <c r="E51" s="4" t="s">
        <v>0</v>
      </c>
      <c r="F51" s="4" t="s">
        <v>60</v>
      </c>
    </row>
    <row r="52" spans="2:6" x14ac:dyDescent="0.3">
      <c r="B52" s="3" t="s">
        <v>5</v>
      </c>
      <c r="C52" s="3">
        <f>H5</f>
        <v>13.375</v>
      </c>
      <c r="E52" s="3" t="s">
        <v>5</v>
      </c>
      <c r="F52" s="3">
        <f>H5</f>
        <v>13.375</v>
      </c>
    </row>
    <row r="53" spans="2:6" x14ac:dyDescent="0.3">
      <c r="B53" s="5" t="s">
        <v>41</v>
      </c>
      <c r="C53" s="3">
        <f>F29</f>
        <v>3.851892332387012</v>
      </c>
      <c r="E53" s="5" t="s">
        <v>41</v>
      </c>
      <c r="F53" s="3">
        <f>F29</f>
        <v>3.851892332387012</v>
      </c>
    </row>
    <row r="54" spans="2:6" x14ac:dyDescent="0.3">
      <c r="B54" s="3" t="s">
        <v>21</v>
      </c>
      <c r="C54" s="3">
        <f>H10</f>
        <v>10.857999999999999</v>
      </c>
      <c r="E54" s="3" t="s">
        <v>21</v>
      </c>
      <c r="F54" s="3">
        <f>H10</f>
        <v>10.857999999999999</v>
      </c>
    </row>
    <row r="55" spans="2:6" x14ac:dyDescent="0.3">
      <c r="B55" s="5" t="s">
        <v>27</v>
      </c>
      <c r="C55" s="3">
        <f>F19</f>
        <v>4.0311256974783944</v>
      </c>
      <c r="E55" s="5" t="s">
        <v>27</v>
      </c>
      <c r="F55" s="3">
        <f>F19</f>
        <v>4.0311256974783944</v>
      </c>
    </row>
    <row r="56" spans="2:6" x14ac:dyDescent="0.3">
      <c r="B56" s="3" t="s">
        <v>26</v>
      </c>
      <c r="C56" s="3">
        <f>H11</f>
        <v>5.4289999999999994</v>
      </c>
      <c r="E56" s="3" t="s">
        <v>26</v>
      </c>
      <c r="F56" s="3">
        <f>H11</f>
        <v>5.4289999999999994</v>
      </c>
    </row>
    <row r="57" spans="2:6" x14ac:dyDescent="0.3">
      <c r="B57" s="10" t="s">
        <v>44</v>
      </c>
      <c r="C57" s="3">
        <f>F30</f>
        <v>22.39514276376886</v>
      </c>
      <c r="E57" s="3" t="s">
        <v>29</v>
      </c>
      <c r="F57" s="3">
        <f>H13</f>
        <v>10.01</v>
      </c>
    </row>
    <row r="58" spans="2:6" x14ac:dyDescent="0.3">
      <c r="B58" s="6" t="s">
        <v>22</v>
      </c>
      <c r="C58" s="3">
        <f>L30</f>
        <v>3.0092908846773532</v>
      </c>
      <c r="E58" s="5" t="s">
        <v>23</v>
      </c>
      <c r="F58" s="3">
        <f>L31</f>
        <v>9.1260959085079296</v>
      </c>
    </row>
    <row r="59" spans="2:6" x14ac:dyDescent="0.3">
      <c r="B59" s="5" t="s">
        <v>76</v>
      </c>
      <c r="C59" s="3">
        <f>F23</f>
        <v>2.7083617962096174</v>
      </c>
      <c r="E59" s="10" t="s">
        <v>77</v>
      </c>
      <c r="F59" s="3">
        <f>F24</f>
        <v>3.1590331990988987</v>
      </c>
    </row>
    <row r="60" spans="2:6" x14ac:dyDescent="0.3">
      <c r="B60" s="3" t="s">
        <v>28</v>
      </c>
      <c r="C60" s="3">
        <f>H12</f>
        <v>4.125</v>
      </c>
      <c r="E60" s="6" t="s">
        <v>31</v>
      </c>
      <c r="F60" s="3">
        <f>F20</f>
        <v>3.1590331990988987</v>
      </c>
    </row>
    <row r="61" spans="2:6" x14ac:dyDescent="0.3">
      <c r="B61" s="3" t="s">
        <v>58</v>
      </c>
      <c r="C61" s="3">
        <f>I19</f>
        <v>15</v>
      </c>
      <c r="E61" s="3" t="s">
        <v>30</v>
      </c>
      <c r="F61" s="3">
        <f>H14</f>
        <v>6.0500000000000007</v>
      </c>
    </row>
    <row r="62" spans="2:6" x14ac:dyDescent="0.3">
      <c r="B62" s="9" t="s">
        <v>54</v>
      </c>
      <c r="C62" s="9">
        <f>SUM(C52:C61)</f>
        <v>84.782813474521248</v>
      </c>
      <c r="E62" s="3" t="s">
        <v>61</v>
      </c>
      <c r="F62" s="3">
        <f>I20</f>
        <v>15</v>
      </c>
    </row>
    <row r="63" spans="2:6" x14ac:dyDescent="0.3">
      <c r="B63" s="1"/>
      <c r="C63" s="1"/>
      <c r="E63" s="9" t="s">
        <v>54</v>
      </c>
      <c r="F63" s="8">
        <f>SUM(F52:F62)</f>
        <v>84.049180336571141</v>
      </c>
    </row>
  </sheetData>
  <mergeCells count="4">
    <mergeCell ref="B34:C34"/>
    <mergeCell ref="E34:F34"/>
    <mergeCell ref="B50:C50"/>
    <mergeCell ref="E50:F50"/>
  </mergeCell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3BC09-3987-4E4B-8E7A-38C3469BB7A7}">
  <dimension ref="A3:N64"/>
  <sheetViews>
    <sheetView workbookViewId="0">
      <selection activeCell="E50" sqref="E50:F64"/>
    </sheetView>
  </sheetViews>
  <sheetFormatPr defaultRowHeight="14.4" x14ac:dyDescent="0.3"/>
  <cols>
    <col min="2" max="2" width="33.44140625" customWidth="1"/>
    <col min="3" max="3" width="15.33203125" customWidth="1"/>
    <col min="4" max="4" width="18.88671875" customWidth="1"/>
    <col min="5" max="5" width="34.77734375" customWidth="1"/>
    <col min="6" max="6" width="17" customWidth="1"/>
    <col min="7" max="7" width="14.21875" customWidth="1"/>
    <col min="8" max="8" width="22.44140625" customWidth="1"/>
    <col min="9" max="9" width="15.77734375" customWidth="1"/>
    <col min="10" max="10" width="24.44140625" customWidth="1"/>
    <col min="11" max="11" width="14.44140625" customWidth="1"/>
    <col min="12" max="12" width="12.33203125" customWidth="1"/>
    <col min="13" max="13" width="22.33203125" customWidth="1"/>
  </cols>
  <sheetData>
    <row r="3" spans="1:13" x14ac:dyDescent="0.3">
      <c r="B3" s="1" t="s">
        <v>0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38</v>
      </c>
      <c r="H3" s="1" t="s">
        <v>37</v>
      </c>
      <c r="I3" s="1" t="s">
        <v>39</v>
      </c>
      <c r="J3" s="1" t="s">
        <v>85</v>
      </c>
    </row>
    <row r="4" spans="1:13" ht="72" x14ac:dyDescent="0.3">
      <c r="B4" s="11" t="s">
        <v>4</v>
      </c>
      <c r="C4" s="11">
        <v>15.2</v>
      </c>
      <c r="D4" s="11">
        <v>8</v>
      </c>
      <c r="E4" s="11">
        <v>2.2799999999999998</v>
      </c>
      <c r="F4" s="11">
        <v>1.25</v>
      </c>
      <c r="G4" s="11">
        <f>(Table6[[#This Row],[Velocity (m/s)]]/1.289)^2</f>
        <v>38.518923323870119</v>
      </c>
      <c r="H4" s="11">
        <f>Table6[[#This Row],[hl (Pa/m)]]*Table6[[#This Row],[Length (m)]]</f>
        <v>19</v>
      </c>
      <c r="I4" s="12">
        <v>600</v>
      </c>
      <c r="J4" s="15" t="s">
        <v>79</v>
      </c>
    </row>
    <row r="5" spans="1:13" ht="72" x14ac:dyDescent="0.3">
      <c r="B5" s="11" t="s">
        <v>5</v>
      </c>
      <c r="C5" s="11">
        <v>10.7</v>
      </c>
      <c r="D5" s="11">
        <v>8</v>
      </c>
      <c r="E5" s="11">
        <v>2.2799999999999998</v>
      </c>
      <c r="F5" s="11">
        <v>1.25</v>
      </c>
      <c r="G5" s="11">
        <f>(Table6[[#This Row],[Velocity (m/s)]]/1.289)^2</f>
        <v>38.518923323870119</v>
      </c>
      <c r="H5" s="11">
        <f>Table6[[#This Row],[hl (Pa/m)]]*Table6[[#This Row],[Length (m)]]</f>
        <v>13.375</v>
      </c>
      <c r="I5" s="12">
        <v>600</v>
      </c>
      <c r="J5" s="15" t="s">
        <v>79</v>
      </c>
    </row>
    <row r="6" spans="1:13" ht="43.2" x14ac:dyDescent="0.3">
      <c r="B6" s="11" t="s">
        <v>6</v>
      </c>
      <c r="C6" s="11">
        <v>6.1</v>
      </c>
      <c r="D6" s="11">
        <v>7</v>
      </c>
      <c r="E6" s="11">
        <v>1.1399999999999999</v>
      </c>
      <c r="F6" s="11">
        <v>1.25</v>
      </c>
      <c r="G6" s="11">
        <f>(Table6[[#This Row],[Velocity (m/s)]]/1.289)^2</f>
        <v>29.491050669838067</v>
      </c>
      <c r="H6" s="11">
        <f>Table6[[#This Row],[hl (Pa/m)]]*Table6[[#This Row],[Length (m)]]</f>
        <v>7.625</v>
      </c>
      <c r="I6" s="12">
        <v>450</v>
      </c>
      <c r="J6" s="13" t="s">
        <v>86</v>
      </c>
    </row>
    <row r="7" spans="1:13" ht="57.6" x14ac:dyDescent="0.3">
      <c r="B7" s="11" t="s">
        <v>12</v>
      </c>
      <c r="C7" s="11">
        <v>5.5</v>
      </c>
      <c r="D7" s="11">
        <v>5.8</v>
      </c>
      <c r="E7" s="11">
        <v>0.56999999999999995</v>
      </c>
      <c r="F7" s="11">
        <v>1.25</v>
      </c>
      <c r="G7" s="11">
        <f>(Table6[[#This Row],[Velocity (m/s)]]/1.289)^2</f>
        <v>20.246509072109234</v>
      </c>
      <c r="H7" s="11">
        <f>Table6[[#This Row],[hl (Pa/m)]]*Table6[[#This Row],[Length (m)]]</f>
        <v>6.875</v>
      </c>
      <c r="I7" s="12">
        <v>350</v>
      </c>
      <c r="J7" s="13" t="s">
        <v>87</v>
      </c>
    </row>
    <row r="8" spans="1:13" ht="57.6" x14ac:dyDescent="0.3">
      <c r="B8" s="11" t="s">
        <v>15</v>
      </c>
      <c r="C8" s="11">
        <v>9.1</v>
      </c>
      <c r="D8" s="11">
        <v>5.6</v>
      </c>
      <c r="E8" s="11">
        <v>0.56999999999999995</v>
      </c>
      <c r="F8" s="11">
        <v>1.1000000000000001</v>
      </c>
      <c r="G8" s="11">
        <f>(Table6[[#This Row],[Velocity (m/s)]]/1.289)^2</f>
        <v>18.874272428696354</v>
      </c>
      <c r="H8" s="11">
        <f>Table6[[#This Row],[hl (Pa/m)]]*Table6[[#This Row],[Length (m)]]</f>
        <v>10.01</v>
      </c>
      <c r="I8" s="12">
        <v>350</v>
      </c>
      <c r="J8" s="15" t="s">
        <v>87</v>
      </c>
    </row>
    <row r="9" spans="1:13" ht="57.6" x14ac:dyDescent="0.3">
      <c r="B9" s="11" t="s">
        <v>17</v>
      </c>
      <c r="C9" s="11">
        <v>5.5</v>
      </c>
      <c r="D9" s="11">
        <v>5.6</v>
      </c>
      <c r="E9" s="11">
        <v>0.56999999999999995</v>
      </c>
      <c r="F9" s="11">
        <v>1.1000000000000001</v>
      </c>
      <c r="G9" s="11">
        <f>(Table6[[#This Row],[Velocity (m/s)]]/1.289)^2</f>
        <v>18.874272428696354</v>
      </c>
      <c r="H9" s="11">
        <f>Table6[[#This Row],[hl (Pa/m)]]*Table6[[#This Row],[Length (m)]]</f>
        <v>6.0500000000000007</v>
      </c>
      <c r="I9" s="12">
        <v>350</v>
      </c>
      <c r="J9" s="13" t="s">
        <v>87</v>
      </c>
    </row>
    <row r="10" spans="1:13" ht="43.2" x14ac:dyDescent="0.3">
      <c r="B10" s="11" t="s">
        <v>21</v>
      </c>
      <c r="C10" s="11">
        <v>12.2</v>
      </c>
      <c r="D10" s="11">
        <v>7</v>
      </c>
      <c r="E10" s="11">
        <v>1.1399999999999999</v>
      </c>
      <c r="F10" s="11">
        <v>1.25</v>
      </c>
      <c r="G10" s="11">
        <f>(Table6[[#This Row],[Velocity (m/s)]]/1.289)^2</f>
        <v>29.491050669838067</v>
      </c>
      <c r="H10" s="11">
        <f>Table6[[#This Row],[hl (Pa/m)]]*Table6[[#This Row],[Length (m)]]</f>
        <v>15.25</v>
      </c>
      <c r="I10" s="12">
        <v>450</v>
      </c>
      <c r="J10" s="13" t="s">
        <v>86</v>
      </c>
    </row>
    <row r="11" spans="1:13" ht="43.2" x14ac:dyDescent="0.3">
      <c r="B11" s="11" t="s">
        <v>26</v>
      </c>
      <c r="C11" s="11">
        <v>6.1</v>
      </c>
      <c r="D11" s="11">
        <v>7</v>
      </c>
      <c r="E11" s="11">
        <v>1.1399999999999999</v>
      </c>
      <c r="F11" s="11">
        <v>1.25</v>
      </c>
      <c r="G11" s="11">
        <f>(Table6[[#This Row],[Velocity (m/s)]]/1.289)^2</f>
        <v>29.491050669838067</v>
      </c>
      <c r="H11" s="11">
        <f>Table6[[#This Row],[hl (Pa/m)]]*Table6[[#This Row],[Length (m)]]</f>
        <v>7.625</v>
      </c>
      <c r="I11" s="12">
        <v>450</v>
      </c>
      <c r="J11" s="13" t="s">
        <v>86</v>
      </c>
    </row>
    <row r="12" spans="1:13" ht="57.6" x14ac:dyDescent="0.3">
      <c r="B12" s="11" t="s">
        <v>28</v>
      </c>
      <c r="C12" s="11">
        <v>5.5</v>
      </c>
      <c r="D12" s="11">
        <v>5.8</v>
      </c>
      <c r="E12" s="11">
        <v>0.56999999999999995</v>
      </c>
      <c r="F12" s="11">
        <v>1.25</v>
      </c>
      <c r="G12" s="11">
        <f>(Table6[[#This Row],[Velocity (m/s)]]/1.289)^2</f>
        <v>20.246509072109234</v>
      </c>
      <c r="H12" s="11">
        <f>Table6[[#This Row],[hl (Pa/m)]]*Table6[[#This Row],[Length (m)]]</f>
        <v>6.875</v>
      </c>
      <c r="I12" s="12">
        <v>350</v>
      </c>
      <c r="J12" s="13" t="s">
        <v>87</v>
      </c>
    </row>
    <row r="13" spans="1:13" ht="57.6" x14ac:dyDescent="0.3">
      <c r="B13" s="11" t="s">
        <v>29</v>
      </c>
      <c r="C13" s="11">
        <v>9.1</v>
      </c>
      <c r="D13" s="11">
        <v>6</v>
      </c>
      <c r="E13" s="11">
        <v>0.56999999999999995</v>
      </c>
      <c r="F13" s="11">
        <v>1.3</v>
      </c>
      <c r="G13" s="11">
        <f>(Table6[[#This Row],[Velocity (m/s)]]/1.289)^2</f>
        <v>21.666894369676946</v>
      </c>
      <c r="H13" s="11">
        <f>Table6[[#This Row],[hl (Pa/m)]]*Table6[[#This Row],[Length (m)]]</f>
        <v>11.83</v>
      </c>
      <c r="I13" s="12">
        <v>350</v>
      </c>
      <c r="J13" s="13" t="s">
        <v>87</v>
      </c>
    </row>
    <row r="14" spans="1:13" ht="57.6" x14ac:dyDescent="0.3">
      <c r="A14" s="1"/>
      <c r="B14" s="11" t="s">
        <v>30</v>
      </c>
      <c r="C14" s="11">
        <v>5.5</v>
      </c>
      <c r="D14" s="11">
        <v>6</v>
      </c>
      <c r="E14" s="11">
        <v>0.56999999999999995</v>
      </c>
      <c r="F14" s="11">
        <v>1.3</v>
      </c>
      <c r="G14" s="11">
        <f>(Table6[[#This Row],[Velocity (m/s)]]/1.289)^2</f>
        <v>21.666894369676946</v>
      </c>
      <c r="H14" s="11">
        <f>Table6[[#This Row],[hl (Pa/m)]]*Table6[[#This Row],[Length (m)]]</f>
        <v>7.15</v>
      </c>
      <c r="I14" s="12">
        <v>350</v>
      </c>
      <c r="J14" s="13" t="s">
        <v>87</v>
      </c>
      <c r="K14" s="1"/>
      <c r="L14" s="1"/>
      <c r="M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x14ac:dyDescent="0.3">
      <c r="A16" s="1"/>
      <c r="B16" s="1" t="s">
        <v>10</v>
      </c>
      <c r="C16" s="1" t="s">
        <v>1</v>
      </c>
      <c r="D16" s="1" t="s">
        <v>6</v>
      </c>
      <c r="E16" s="1" t="s">
        <v>3</v>
      </c>
      <c r="F16" s="1" t="s">
        <v>40</v>
      </c>
      <c r="G16" s="1"/>
      <c r="H16" s="1" t="s">
        <v>13</v>
      </c>
      <c r="I16" s="1" t="s">
        <v>40</v>
      </c>
      <c r="J16" s="1"/>
      <c r="K16" s="1"/>
      <c r="L16" s="1"/>
    </row>
    <row r="17" spans="1:14" x14ac:dyDescent="0.3">
      <c r="A17" s="1"/>
      <c r="B17" s="1" t="s">
        <v>7</v>
      </c>
      <c r="C17" s="1">
        <f>D6</f>
        <v>7</v>
      </c>
      <c r="D17" s="1">
        <v>0.18</v>
      </c>
      <c r="E17" s="1">
        <f>(Table7[[#This Row],[Velocity]]/1.289)^2</f>
        <v>29.491050669838067</v>
      </c>
      <c r="F17" s="1">
        <f>Table7[[#This Row],[C]]*Table7[[#This Row],[Hv]]</f>
        <v>5.308389120570852</v>
      </c>
      <c r="G17" s="1"/>
      <c r="H17" s="1" t="s">
        <v>14</v>
      </c>
      <c r="I17" s="1">
        <v>15</v>
      </c>
      <c r="J17" s="1"/>
      <c r="K17" s="1"/>
      <c r="L17" s="1"/>
    </row>
    <row r="18" spans="1:14" x14ac:dyDescent="0.3">
      <c r="A18" s="1"/>
      <c r="B18" s="1" t="s">
        <v>20</v>
      </c>
      <c r="C18" s="1">
        <f>D9</f>
        <v>5.6</v>
      </c>
      <c r="D18" s="1">
        <v>0.18</v>
      </c>
      <c r="E18" s="1">
        <f>(Table7[[#This Row],[Velocity]]/1.289)^2</f>
        <v>18.874272428696354</v>
      </c>
      <c r="F18" s="1">
        <f>Table7[[#This Row],[C]]*Table7[[#This Row],[Hv]]</f>
        <v>3.3973690371653436</v>
      </c>
      <c r="G18" s="1"/>
      <c r="H18" s="1" t="s">
        <v>19</v>
      </c>
      <c r="I18" s="1">
        <v>15</v>
      </c>
      <c r="J18" s="1"/>
      <c r="K18" s="1"/>
      <c r="L18" s="1"/>
    </row>
    <row r="19" spans="1:14" x14ac:dyDescent="0.3">
      <c r="A19" s="1"/>
      <c r="B19" s="1" t="s">
        <v>27</v>
      </c>
      <c r="C19" s="1">
        <f>D11</f>
        <v>7</v>
      </c>
      <c r="D19" s="1">
        <v>0.18</v>
      </c>
      <c r="E19" s="1">
        <f>(Table7[[#This Row],[Velocity]]/1.289)^2</f>
        <v>29.491050669838067</v>
      </c>
      <c r="F19" s="1">
        <f>Table7[[#This Row],[C]]*Table7[[#This Row],[Hv]]</f>
        <v>5.308389120570852</v>
      </c>
      <c r="G19" s="1"/>
      <c r="H19" s="1" t="s">
        <v>24</v>
      </c>
      <c r="I19" s="1">
        <v>15</v>
      </c>
      <c r="J19" s="1"/>
      <c r="K19" s="1"/>
      <c r="L19" s="1"/>
    </row>
    <row r="20" spans="1:14" x14ac:dyDescent="0.3">
      <c r="A20" s="1"/>
      <c r="B20" s="1" t="s">
        <v>31</v>
      </c>
      <c r="C20" s="1">
        <f>D14</f>
        <v>6</v>
      </c>
      <c r="D20" s="1">
        <v>0.18</v>
      </c>
      <c r="E20" s="1">
        <f>(Table7[[#This Row],[Velocity]]/1.289)^2</f>
        <v>21.666894369676946</v>
      </c>
      <c r="F20" s="1">
        <f>Table7[[#This Row],[C]]*Table7[[#This Row],[Hv]]</f>
        <v>3.9000409865418502</v>
      </c>
      <c r="G20" s="1"/>
      <c r="H20" s="1" t="s">
        <v>25</v>
      </c>
      <c r="I20" s="1">
        <v>15</v>
      </c>
      <c r="J20" s="1"/>
      <c r="K20" s="1"/>
      <c r="L20" s="1"/>
    </row>
    <row r="21" spans="1:14" x14ac:dyDescent="0.3">
      <c r="A21" s="1"/>
      <c r="B21" s="1" t="s">
        <v>74</v>
      </c>
      <c r="C21" s="1">
        <f>D7</f>
        <v>5.8</v>
      </c>
      <c r="D21" s="1">
        <v>0.18</v>
      </c>
      <c r="E21" s="2">
        <f>(Table7[[#This Row],[Velocity]]/1.289)^2</f>
        <v>20.246509072109234</v>
      </c>
      <c r="F21" s="2">
        <f>Table7[[#This Row],[C]]*Table7[[#This Row],[Hv]]</f>
        <v>3.644371632979662</v>
      </c>
      <c r="G21" s="1"/>
      <c r="H21" s="1"/>
      <c r="I21" s="1"/>
      <c r="J21" s="1"/>
      <c r="K21" s="1"/>
      <c r="L21" s="1"/>
    </row>
    <row r="22" spans="1:14" x14ac:dyDescent="0.3">
      <c r="A22" s="1"/>
      <c r="B22" s="1" t="s">
        <v>75</v>
      </c>
      <c r="C22" s="1">
        <f>D9</f>
        <v>5.6</v>
      </c>
      <c r="D22" s="1">
        <v>0.18</v>
      </c>
      <c r="E22" s="2">
        <f>(Table7[[#This Row],[Velocity]]/1.289)^2</f>
        <v>18.874272428696354</v>
      </c>
      <c r="F22" s="2">
        <f>Table7[[#This Row],[C]]*Table7[[#This Row],[Hv]]</f>
        <v>3.3973690371653436</v>
      </c>
      <c r="G22" s="1"/>
      <c r="H22" s="1" t="s">
        <v>45</v>
      </c>
      <c r="I22" s="1" t="s">
        <v>46</v>
      </c>
      <c r="J22" s="1" t="s">
        <v>49</v>
      </c>
      <c r="K22" s="1" t="s">
        <v>32</v>
      </c>
      <c r="L22" s="1" t="s">
        <v>34</v>
      </c>
      <c r="M22" s="1" t="s">
        <v>50</v>
      </c>
      <c r="N22" s="1" t="s">
        <v>2</v>
      </c>
    </row>
    <row r="23" spans="1:14" x14ac:dyDescent="0.3">
      <c r="A23" s="1"/>
      <c r="B23" s="1" t="s">
        <v>76</v>
      </c>
      <c r="C23" s="1">
        <f>D12</f>
        <v>5.8</v>
      </c>
      <c r="D23" s="1">
        <v>0.18</v>
      </c>
      <c r="E23" s="2">
        <f>(Table7[[#This Row],[Velocity]]/1.289)^2</f>
        <v>20.246509072109234</v>
      </c>
      <c r="F23" s="2">
        <f>Table7[[#This Row],[C]]*Table7[[#This Row],[Hv]]</f>
        <v>3.644371632979662</v>
      </c>
      <c r="G23" s="1"/>
      <c r="H23" s="1" t="s">
        <v>48</v>
      </c>
      <c r="I23" s="1" t="s">
        <v>47</v>
      </c>
      <c r="J23" s="1">
        <v>0.04</v>
      </c>
      <c r="K23" s="1">
        <v>2.2799999999999998</v>
      </c>
      <c r="L23" s="1">
        <v>4.3</v>
      </c>
      <c r="M23" s="1">
        <v>17</v>
      </c>
      <c r="N23" s="1">
        <f>(((Table10[[#This Row],[Velocity (m/s)]]^2)/(2*9.81))*Table10[[#This Row],[K (Well Rounded)]])</f>
        <v>3.7696228338430171E-2</v>
      </c>
    </row>
    <row r="24" spans="1:14" x14ac:dyDescent="0.3">
      <c r="A24" s="1"/>
      <c r="B24" s="1" t="s">
        <v>77</v>
      </c>
      <c r="C24" s="1">
        <f>D14</f>
        <v>6</v>
      </c>
      <c r="D24" s="1">
        <v>0.18</v>
      </c>
      <c r="E24" s="2">
        <f>(Table7[[#This Row],[Velocity]]/1.289)^2</f>
        <v>21.666894369676946</v>
      </c>
      <c r="F24" s="2">
        <f>Table7[[#This Row],[C]]*Table7[[#This Row],[Hv]]</f>
        <v>3.9000409865418502</v>
      </c>
      <c r="G24" s="1"/>
      <c r="H24" s="1"/>
      <c r="I24" s="1"/>
      <c r="J24" s="1"/>
      <c r="K24" s="1"/>
      <c r="L24" s="1"/>
    </row>
    <row r="25" spans="1:1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x14ac:dyDescent="0.3">
      <c r="A26" s="1"/>
      <c r="B26" s="1" t="s">
        <v>11</v>
      </c>
      <c r="C26" s="1" t="s">
        <v>1</v>
      </c>
      <c r="D26" s="1" t="s">
        <v>6</v>
      </c>
      <c r="E26" s="1" t="s">
        <v>3</v>
      </c>
      <c r="F26" s="1" t="s">
        <v>40</v>
      </c>
      <c r="G26" s="1"/>
      <c r="H26" s="1" t="s">
        <v>8</v>
      </c>
      <c r="I26" s="1" t="s">
        <v>1</v>
      </c>
      <c r="J26" s="1" t="s">
        <v>6</v>
      </c>
      <c r="K26" s="1" t="s">
        <v>3</v>
      </c>
      <c r="L26" s="1" t="s">
        <v>40</v>
      </c>
    </row>
    <row r="27" spans="1:14" x14ac:dyDescent="0.3">
      <c r="A27" s="1"/>
      <c r="B27" s="1" t="s">
        <v>42</v>
      </c>
      <c r="C27" s="1">
        <f>D5</f>
        <v>8</v>
      </c>
      <c r="D27" s="1">
        <v>1</v>
      </c>
      <c r="E27" s="1">
        <f>(Table8[[#This Row],[Velocity]]/1.289)^2</f>
        <v>38.518923323870119</v>
      </c>
      <c r="F27" s="1">
        <f>Table8[[#This Row],[Hv]]*Table8[[#This Row],[C]]</f>
        <v>38.518923323870119</v>
      </c>
      <c r="G27" s="1"/>
      <c r="H27" s="1" t="s">
        <v>9</v>
      </c>
      <c r="I27" s="1">
        <f>D4</f>
        <v>8</v>
      </c>
      <c r="J27" s="1">
        <v>0.2</v>
      </c>
      <c r="K27" s="1">
        <f>(Table17[[#This Row],[Velocity]]/1.289)^2</f>
        <v>38.518923323870119</v>
      </c>
      <c r="L27" s="1">
        <f>Table17[[#This Row],[Hv]]*Table17[[#This Row],[C]]</f>
        <v>7.703784664774024</v>
      </c>
    </row>
    <row r="28" spans="1:14" x14ac:dyDescent="0.3">
      <c r="A28" s="1"/>
      <c r="B28" s="1" t="s">
        <v>43</v>
      </c>
      <c r="C28" s="1">
        <f>D6</f>
        <v>7</v>
      </c>
      <c r="D28" s="1">
        <v>1</v>
      </c>
      <c r="E28" s="1">
        <f>(Table8[[#This Row],[Velocity]]/1.289)^2</f>
        <v>29.491050669838067</v>
      </c>
      <c r="F28" s="1">
        <f>Table8[[#This Row],[Hv]]*Table8[[#This Row],[C]]</f>
        <v>29.491050669838067</v>
      </c>
      <c r="G28" s="1"/>
      <c r="H28" s="1" t="s">
        <v>16</v>
      </c>
      <c r="I28" s="1">
        <f>D7</f>
        <v>5.8</v>
      </c>
      <c r="J28" s="1">
        <v>0.52</v>
      </c>
      <c r="K28" s="1">
        <f>(Table17[[#This Row],[Velocity]]/1.289)^2</f>
        <v>20.246509072109234</v>
      </c>
      <c r="L28" s="1">
        <f>Table17[[#This Row],[Hv]]*Table17[[#This Row],[C]]</f>
        <v>10.528184717496801</v>
      </c>
    </row>
    <row r="29" spans="1:14" x14ac:dyDescent="0.3">
      <c r="B29" s="1" t="s">
        <v>41</v>
      </c>
      <c r="C29" s="1">
        <f>D5</f>
        <v>8</v>
      </c>
      <c r="D29" s="1">
        <v>0.1</v>
      </c>
      <c r="E29" s="1">
        <f>(Table8[[#This Row],[Velocity]]/1.289)^2</f>
        <v>38.518923323870119</v>
      </c>
      <c r="F29" s="1">
        <f>Table8[[#This Row],[Hv]]*Table8[[#This Row],[C]]</f>
        <v>3.851892332387012</v>
      </c>
      <c r="H29" s="1" t="s">
        <v>18</v>
      </c>
      <c r="I29" s="1">
        <f>D9</f>
        <v>5.6</v>
      </c>
      <c r="J29" s="1">
        <v>1.5</v>
      </c>
      <c r="K29" s="1">
        <f>(Table17[[#This Row],[Velocity]]/1.289)^2</f>
        <v>18.874272428696354</v>
      </c>
      <c r="L29" s="1">
        <f>Table17[[#This Row],[Hv]]*Table17[[#This Row],[C]]</f>
        <v>28.31140864304453</v>
      </c>
    </row>
    <row r="30" spans="1:14" x14ac:dyDescent="0.3">
      <c r="B30" s="1" t="s">
        <v>44</v>
      </c>
      <c r="C30" s="1">
        <f>D11</f>
        <v>7</v>
      </c>
      <c r="D30" s="1">
        <v>1</v>
      </c>
      <c r="E30" s="1">
        <f>(Table8[[#This Row],[Velocity]]/1.289)^2</f>
        <v>29.491050669838067</v>
      </c>
      <c r="F30" s="1">
        <f>Table8[[#This Row],[Hv]]*Table8[[#This Row],[C]]</f>
        <v>29.491050669838067</v>
      </c>
      <c r="H30" s="1" t="s">
        <v>22</v>
      </c>
      <c r="I30" s="1">
        <f>D12</f>
        <v>5.8</v>
      </c>
      <c r="J30" s="1">
        <v>1.5</v>
      </c>
      <c r="K30" s="1">
        <f>(Table17[[#This Row],[Velocity]]/1.289)^2</f>
        <v>20.246509072109234</v>
      </c>
      <c r="L30" s="1">
        <f>Table17[[#This Row],[Hv]]*Table17[[#This Row],[C]]</f>
        <v>30.369763608163851</v>
      </c>
    </row>
    <row r="31" spans="1:14" x14ac:dyDescent="0.3">
      <c r="B31" s="1"/>
      <c r="C31" s="1"/>
      <c r="D31" s="1"/>
      <c r="E31" s="1"/>
      <c r="F31" s="1"/>
      <c r="H31" s="1" t="s">
        <v>23</v>
      </c>
      <c r="I31" s="1">
        <f>D14</f>
        <v>6</v>
      </c>
      <c r="J31" s="1">
        <v>1.5</v>
      </c>
      <c r="K31" s="1">
        <f>(Table17[[#This Row],[Velocity]]/1.289)^2</f>
        <v>21.666894369676946</v>
      </c>
      <c r="L31" s="1">
        <f>Table17[[#This Row],[Hv]]*Table17[[#This Row],[C]]</f>
        <v>32.500341554515416</v>
      </c>
    </row>
    <row r="32" spans="1:14" x14ac:dyDescent="0.3">
      <c r="B32" s="1"/>
      <c r="C32" s="1"/>
      <c r="D32" s="1"/>
      <c r="E32" s="1"/>
      <c r="F32" s="1"/>
      <c r="H32" s="1" t="s">
        <v>71</v>
      </c>
      <c r="I32" s="1">
        <f>D13</f>
        <v>6</v>
      </c>
      <c r="J32" s="1">
        <v>0.52</v>
      </c>
      <c r="K32" s="2">
        <f>(Table17[[#This Row],[Velocity]]/1.289)^2</f>
        <v>21.666894369676946</v>
      </c>
      <c r="L32" s="2">
        <f>Table17[[#This Row],[Hv]]*Table17[[#This Row],[C]]</f>
        <v>11.266785072232013</v>
      </c>
    </row>
    <row r="34" spans="2:6" x14ac:dyDescent="0.3">
      <c r="B34" s="16" t="s">
        <v>51</v>
      </c>
      <c r="C34" s="16"/>
      <c r="E34" s="16" t="s">
        <v>55</v>
      </c>
      <c r="F34" s="16"/>
    </row>
    <row r="35" spans="2:6" x14ac:dyDescent="0.3">
      <c r="B35" s="4" t="s">
        <v>0</v>
      </c>
      <c r="C35" s="4" t="s">
        <v>52</v>
      </c>
      <c r="E35" s="4" t="s">
        <v>0</v>
      </c>
      <c r="F35" s="4" t="s">
        <v>52</v>
      </c>
    </row>
    <row r="36" spans="2:6" x14ac:dyDescent="0.3">
      <c r="B36" s="3" t="s">
        <v>5</v>
      </c>
      <c r="C36" s="3">
        <f>H5</f>
        <v>13.375</v>
      </c>
      <c r="E36" s="3" t="s">
        <v>5</v>
      </c>
      <c r="F36" s="3">
        <f>H5</f>
        <v>13.375</v>
      </c>
    </row>
    <row r="37" spans="2:6" x14ac:dyDescent="0.3">
      <c r="B37" s="5" t="s">
        <v>7</v>
      </c>
      <c r="C37" s="3">
        <f>F17</f>
        <v>5.308389120570852</v>
      </c>
      <c r="E37" s="5" t="s">
        <v>7</v>
      </c>
      <c r="F37" s="3">
        <f>F17</f>
        <v>5.308389120570852</v>
      </c>
    </row>
    <row r="38" spans="2:6" x14ac:dyDescent="0.3">
      <c r="B38" s="5" t="s">
        <v>42</v>
      </c>
      <c r="C38" s="3">
        <f>F27</f>
        <v>38.518923323870119</v>
      </c>
      <c r="E38" s="5" t="s">
        <v>6</v>
      </c>
      <c r="F38" s="3">
        <f>H6</f>
        <v>7.625</v>
      </c>
    </row>
    <row r="39" spans="2:6" x14ac:dyDescent="0.3">
      <c r="B39" s="5" t="s">
        <v>6</v>
      </c>
      <c r="C39" s="3">
        <f>H6</f>
        <v>7.625</v>
      </c>
      <c r="E39" s="5" t="s">
        <v>42</v>
      </c>
      <c r="F39" s="3">
        <f>F27</f>
        <v>38.518923323870119</v>
      </c>
    </row>
    <row r="40" spans="2:6" x14ac:dyDescent="0.3">
      <c r="B40" s="6" t="s">
        <v>43</v>
      </c>
      <c r="C40" s="3">
        <f>F28</f>
        <v>29.491050669838067</v>
      </c>
      <c r="E40" s="5" t="s">
        <v>15</v>
      </c>
      <c r="F40" s="3">
        <f>H8</f>
        <v>10.01</v>
      </c>
    </row>
    <row r="41" spans="2:6" x14ac:dyDescent="0.3">
      <c r="B41" s="3" t="s">
        <v>12</v>
      </c>
      <c r="C41" s="3">
        <f>H7</f>
        <v>6.875</v>
      </c>
      <c r="E41" s="6" t="s">
        <v>20</v>
      </c>
      <c r="F41" s="3">
        <f>F18</f>
        <v>3.3973690371653436</v>
      </c>
    </row>
    <row r="42" spans="2:6" x14ac:dyDescent="0.3">
      <c r="B42" s="6" t="s">
        <v>70</v>
      </c>
      <c r="C42" s="3">
        <f>L28</f>
        <v>10.528184717496801</v>
      </c>
      <c r="E42" s="5" t="s">
        <v>18</v>
      </c>
      <c r="F42" s="3">
        <f>L29</f>
        <v>28.31140864304453</v>
      </c>
    </row>
    <row r="43" spans="2:6" x14ac:dyDescent="0.3">
      <c r="B43" s="5" t="s">
        <v>74</v>
      </c>
      <c r="C43" s="3">
        <f>F21</f>
        <v>3.644371632979662</v>
      </c>
      <c r="E43" s="6" t="s">
        <v>75</v>
      </c>
      <c r="F43" s="3">
        <f>F22</f>
        <v>3.3973690371653436</v>
      </c>
    </row>
    <row r="44" spans="2:6" x14ac:dyDescent="0.3">
      <c r="B44" s="3" t="s">
        <v>53</v>
      </c>
      <c r="C44" s="3">
        <f>I17</f>
        <v>15</v>
      </c>
      <c r="E44" s="6" t="s">
        <v>56</v>
      </c>
      <c r="F44" s="3">
        <f>I18</f>
        <v>15</v>
      </c>
    </row>
    <row r="45" spans="2:6" x14ac:dyDescent="0.3">
      <c r="B45" s="9" t="s">
        <v>54</v>
      </c>
      <c r="C45" s="8">
        <f>SUM(C36:C44)</f>
        <v>130.36591946475551</v>
      </c>
      <c r="E45" s="5" t="s">
        <v>17</v>
      </c>
      <c r="F45" s="3">
        <f>H9</f>
        <v>6.0500000000000007</v>
      </c>
    </row>
    <row r="46" spans="2:6" x14ac:dyDescent="0.3">
      <c r="E46" s="7" t="s">
        <v>54</v>
      </c>
      <c r="F46" s="8">
        <f>SUM(F36:F45)</f>
        <v>130.99345916181619</v>
      </c>
    </row>
    <row r="50" spans="2:6" x14ac:dyDescent="0.3">
      <c r="B50" s="16" t="s">
        <v>57</v>
      </c>
      <c r="C50" s="16"/>
      <c r="E50" s="17" t="s">
        <v>59</v>
      </c>
      <c r="F50" s="18"/>
    </row>
    <row r="51" spans="2:6" x14ac:dyDescent="0.3">
      <c r="B51" s="4" t="s">
        <v>0</v>
      </c>
      <c r="C51" s="4" t="s">
        <v>52</v>
      </c>
      <c r="E51" s="4" t="s">
        <v>0</v>
      </c>
      <c r="F51" s="4" t="s">
        <v>60</v>
      </c>
    </row>
    <row r="52" spans="2:6" x14ac:dyDescent="0.3">
      <c r="B52" s="3" t="s">
        <v>5</v>
      </c>
      <c r="C52" s="3">
        <f>H5</f>
        <v>13.375</v>
      </c>
      <c r="E52" s="3" t="s">
        <v>5</v>
      </c>
      <c r="F52" s="3">
        <f>H5</f>
        <v>13.375</v>
      </c>
    </row>
    <row r="53" spans="2:6" x14ac:dyDescent="0.3">
      <c r="B53" s="5" t="s">
        <v>41</v>
      </c>
      <c r="C53" s="3">
        <f>F29</f>
        <v>3.851892332387012</v>
      </c>
      <c r="E53" s="5" t="s">
        <v>41</v>
      </c>
      <c r="F53" s="3">
        <f>F29</f>
        <v>3.851892332387012</v>
      </c>
    </row>
    <row r="54" spans="2:6" x14ac:dyDescent="0.3">
      <c r="B54" s="3" t="s">
        <v>21</v>
      </c>
      <c r="C54" s="3">
        <f>H10</f>
        <v>15.25</v>
      </c>
      <c r="E54" s="3" t="s">
        <v>21</v>
      </c>
      <c r="F54" s="3">
        <f>H10</f>
        <v>15.25</v>
      </c>
    </row>
    <row r="55" spans="2:6" x14ac:dyDescent="0.3">
      <c r="B55" s="5" t="s">
        <v>27</v>
      </c>
      <c r="C55" s="3">
        <f>F19</f>
        <v>5.308389120570852</v>
      </c>
      <c r="E55" s="5" t="s">
        <v>27</v>
      </c>
      <c r="F55" s="3">
        <f>F19</f>
        <v>5.308389120570852</v>
      </c>
    </row>
    <row r="56" spans="2:6" x14ac:dyDescent="0.3">
      <c r="B56" s="3" t="s">
        <v>26</v>
      </c>
      <c r="C56" s="3">
        <f>H11</f>
        <v>7.625</v>
      </c>
      <c r="E56" s="3" t="s">
        <v>26</v>
      </c>
      <c r="F56" s="3">
        <f>H11</f>
        <v>7.625</v>
      </c>
    </row>
    <row r="57" spans="2:6" x14ac:dyDescent="0.3">
      <c r="B57" s="10" t="s">
        <v>44</v>
      </c>
      <c r="C57" s="3">
        <f>F30</f>
        <v>29.491050669838067</v>
      </c>
      <c r="E57" s="3" t="s">
        <v>29</v>
      </c>
      <c r="F57" s="3">
        <f>H13</f>
        <v>11.83</v>
      </c>
    </row>
    <row r="58" spans="2:6" x14ac:dyDescent="0.3">
      <c r="B58" s="6" t="s">
        <v>22</v>
      </c>
      <c r="C58" s="3">
        <f>L30</f>
        <v>30.369763608163851</v>
      </c>
      <c r="E58" s="5" t="s">
        <v>23</v>
      </c>
      <c r="F58" s="3">
        <f>L31</f>
        <v>32.500341554515416</v>
      </c>
    </row>
    <row r="59" spans="2:6" x14ac:dyDescent="0.3">
      <c r="B59" s="3" t="s">
        <v>28</v>
      </c>
      <c r="C59" s="3">
        <f>H12</f>
        <v>6.875</v>
      </c>
      <c r="E59" s="6" t="s">
        <v>31</v>
      </c>
      <c r="F59" s="3">
        <f>F20</f>
        <v>3.9000409865418502</v>
      </c>
    </row>
    <row r="60" spans="2:6" x14ac:dyDescent="0.3">
      <c r="B60" s="5" t="s">
        <v>76</v>
      </c>
      <c r="C60" s="3">
        <f>F23</f>
        <v>3.644371632979662</v>
      </c>
      <c r="E60" s="6" t="s">
        <v>77</v>
      </c>
      <c r="F60" s="3">
        <f>F24</f>
        <v>3.9000409865418502</v>
      </c>
    </row>
    <row r="61" spans="2:6" x14ac:dyDescent="0.3">
      <c r="B61" s="3" t="s">
        <v>58</v>
      </c>
      <c r="C61" s="3">
        <f>I19</f>
        <v>15</v>
      </c>
      <c r="E61" s="3" t="s">
        <v>30</v>
      </c>
      <c r="F61" s="3">
        <f>H14</f>
        <v>7.15</v>
      </c>
    </row>
    <row r="62" spans="2:6" x14ac:dyDescent="0.3">
      <c r="B62" s="9" t="s">
        <v>54</v>
      </c>
      <c r="C62" s="9">
        <f>SUM(C52:C61)</f>
        <v>130.79046736393946</v>
      </c>
      <c r="E62" s="3" t="s">
        <v>61</v>
      </c>
      <c r="F62" s="3">
        <f>I20</f>
        <v>15</v>
      </c>
    </row>
    <row r="63" spans="2:6" x14ac:dyDescent="0.3">
      <c r="B63" s="14"/>
      <c r="C63" s="14"/>
      <c r="E63" s="3" t="s">
        <v>72</v>
      </c>
      <c r="F63" s="3">
        <f>L32</f>
        <v>11.266785072232013</v>
      </c>
    </row>
    <row r="64" spans="2:6" x14ac:dyDescent="0.3">
      <c r="B64" s="1"/>
      <c r="C64" s="1"/>
      <c r="E64" s="9" t="s">
        <v>54</v>
      </c>
      <c r="F64" s="8">
        <f>SUM(F52:F63)</f>
        <v>130.95749005278901</v>
      </c>
    </row>
  </sheetData>
  <mergeCells count="4">
    <mergeCell ref="B34:C34"/>
    <mergeCell ref="E34:F34"/>
    <mergeCell ref="B50:C50"/>
    <mergeCell ref="E50:F50"/>
  </mergeCells>
  <phoneticPr fontId="2" type="noConversion"/>
  <pageMargins left="0.7" right="0.7" top="0.75" bottom="0.75" header="0.3" footer="0.3"/>
  <pageSetup orientation="portrait" r:id="rId1"/>
  <ignoredErrors>
    <ignoredError sqref="F39" formula="1"/>
  </ignoredErrors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Without damper Initial design</vt:lpstr>
      <vt:lpstr>With Damper</vt:lpstr>
      <vt:lpstr>Velocity</vt:lpstr>
      <vt:lpstr>Constant Friction Factor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2020-10-21T04:26:13Z</dcterms:modified>
</cp:coreProperties>
</file>